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80" windowHeight="1170"/>
  </bookViews>
  <sheets>
    <sheet name="Смета 10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10 гр. по ФЕР'!$32:$32</definedName>
    <definedName name="_xlnm.Print_Area" localSheetId="0">'Смета 10 гр. по ФЕР'!$A$1:$J$284</definedName>
  </definedNames>
  <calcPr calcId="145621"/>
</workbook>
</file>

<file path=xl/calcChain.xml><?xml version="1.0" encoding="utf-8"?>
<calcChain xmlns="http://schemas.openxmlformats.org/spreadsheetml/2006/main">
  <c r="I218" i="5" l="1"/>
  <c r="I217" i="5"/>
  <c r="H217" i="5" s="1"/>
  <c r="I216" i="5"/>
  <c r="A270" i="5"/>
  <c r="A268" i="5"/>
  <c r="H265" i="5"/>
  <c r="G265" i="5"/>
  <c r="E265" i="5"/>
  <c r="I264" i="5"/>
  <c r="C264" i="5"/>
  <c r="E264" i="5"/>
  <c r="I263" i="5"/>
  <c r="C263" i="5"/>
  <c r="E263" i="5"/>
  <c r="J262" i="5"/>
  <c r="I262" i="5"/>
  <c r="Q262" i="5"/>
  <c r="H262" i="5"/>
  <c r="G262" i="5"/>
  <c r="F262" i="5"/>
  <c r="U261" i="5"/>
  <c r="J264" i="5" s="1"/>
  <c r="S261" i="5"/>
  <c r="J263" i="5" s="1"/>
  <c r="T261" i="5"/>
  <c r="H264" i="5" s="1"/>
  <c r="R261" i="5"/>
  <c r="H263" i="5" s="1"/>
  <c r="E261" i="5"/>
  <c r="D261" i="5"/>
  <c r="I261" i="5"/>
  <c r="C261" i="5"/>
  <c r="B261" i="5"/>
  <c r="A261" i="5"/>
  <c r="H259" i="5"/>
  <c r="G259" i="5"/>
  <c r="E259" i="5"/>
  <c r="I258" i="5"/>
  <c r="C258" i="5"/>
  <c r="E258" i="5"/>
  <c r="I257" i="5"/>
  <c r="C257" i="5"/>
  <c r="E257" i="5"/>
  <c r="J256" i="5"/>
  <c r="I256" i="5"/>
  <c r="Q256" i="5"/>
  <c r="H256" i="5"/>
  <c r="G256" i="5"/>
  <c r="F256" i="5"/>
  <c r="U255" i="5"/>
  <c r="J258" i="5" s="1"/>
  <c r="S255" i="5"/>
  <c r="J257" i="5" s="1"/>
  <c r="T255" i="5"/>
  <c r="H258" i="5" s="1"/>
  <c r="R255" i="5"/>
  <c r="H257" i="5" s="1"/>
  <c r="E255" i="5"/>
  <c r="D255" i="5"/>
  <c r="I255" i="5"/>
  <c r="A255" i="5"/>
  <c r="A254" i="5"/>
  <c r="A250" i="5"/>
  <c r="H247" i="5"/>
  <c r="G247" i="5"/>
  <c r="E247" i="5"/>
  <c r="I246" i="5"/>
  <c r="C246" i="5"/>
  <c r="E246" i="5"/>
  <c r="I245" i="5"/>
  <c r="C245" i="5"/>
  <c r="E245" i="5"/>
  <c r="J244" i="5"/>
  <c r="I244" i="5"/>
  <c r="Q244" i="5"/>
  <c r="H244" i="5"/>
  <c r="G244" i="5"/>
  <c r="F244" i="5"/>
  <c r="U243" i="5"/>
  <c r="J246" i="5" s="1"/>
  <c r="S243" i="5"/>
  <c r="J245" i="5" s="1"/>
  <c r="T243" i="5"/>
  <c r="H246" i="5" s="1"/>
  <c r="R243" i="5"/>
  <c r="H245" i="5" s="1"/>
  <c r="E243" i="5"/>
  <c r="D243" i="5"/>
  <c r="I243" i="5"/>
  <c r="C243" i="5"/>
  <c r="B243" i="5"/>
  <c r="A243" i="5"/>
  <c r="H241" i="5"/>
  <c r="G241" i="5"/>
  <c r="E241" i="5"/>
  <c r="I240" i="5"/>
  <c r="C240" i="5"/>
  <c r="E240" i="5"/>
  <c r="I239" i="5"/>
  <c r="C239" i="5"/>
  <c r="E239" i="5"/>
  <c r="J238" i="5"/>
  <c r="I238" i="5"/>
  <c r="Q238" i="5"/>
  <c r="H238" i="5"/>
  <c r="G238" i="5"/>
  <c r="F238" i="5"/>
  <c r="U237" i="5"/>
  <c r="J240" i="5" s="1"/>
  <c r="S237" i="5"/>
  <c r="J239" i="5" s="1"/>
  <c r="T237" i="5"/>
  <c r="H240" i="5" s="1"/>
  <c r="R237" i="5"/>
  <c r="H239" i="5" s="1"/>
  <c r="E237" i="5"/>
  <c r="D237" i="5"/>
  <c r="I237" i="5"/>
  <c r="C237" i="5"/>
  <c r="B237" i="5"/>
  <c r="A237" i="5"/>
  <c r="H235" i="5"/>
  <c r="G235" i="5"/>
  <c r="E235" i="5"/>
  <c r="I234" i="5"/>
  <c r="C234" i="5"/>
  <c r="E234" i="5"/>
  <c r="I233" i="5"/>
  <c r="C233" i="5"/>
  <c r="E233" i="5"/>
  <c r="J232" i="5"/>
  <c r="I232" i="5"/>
  <c r="Q232" i="5"/>
  <c r="H232" i="5"/>
  <c r="G232" i="5"/>
  <c r="F232" i="5"/>
  <c r="U231" i="5"/>
  <c r="J234" i="5" s="1"/>
  <c r="S231" i="5"/>
  <c r="J233" i="5" s="1"/>
  <c r="T231" i="5"/>
  <c r="H234" i="5" s="1"/>
  <c r="R231" i="5"/>
  <c r="H233" i="5" s="1"/>
  <c r="E231" i="5"/>
  <c r="D231" i="5"/>
  <c r="I231" i="5"/>
  <c r="C231" i="5"/>
  <c r="B231" i="5"/>
  <c r="A231" i="5"/>
  <c r="H229" i="5"/>
  <c r="G229" i="5"/>
  <c r="E229" i="5"/>
  <c r="I228" i="5"/>
  <c r="C228" i="5"/>
  <c r="E228" i="5"/>
  <c r="I227" i="5"/>
  <c r="C227" i="5"/>
  <c r="E227" i="5"/>
  <c r="J226" i="5"/>
  <c r="I226" i="5"/>
  <c r="Q226" i="5"/>
  <c r="H226" i="5"/>
  <c r="G226" i="5"/>
  <c r="F226" i="5"/>
  <c r="U225" i="5"/>
  <c r="J228" i="5" s="1"/>
  <c r="S225" i="5"/>
  <c r="J227" i="5" s="1"/>
  <c r="T225" i="5"/>
  <c r="H228" i="5" s="1"/>
  <c r="R225" i="5"/>
  <c r="H227" i="5" s="1"/>
  <c r="E225" i="5"/>
  <c r="D225" i="5"/>
  <c r="I225" i="5"/>
  <c r="A225" i="5"/>
  <c r="A224" i="5"/>
  <c r="A212" i="5"/>
  <c r="B199" i="5"/>
  <c r="A176" i="5"/>
  <c r="I174" i="5"/>
  <c r="C174" i="5"/>
  <c r="I28" i="5"/>
  <c r="I27" i="5"/>
  <c r="H27" i="5" s="1"/>
  <c r="I26" i="5"/>
  <c r="A172" i="5"/>
  <c r="A170" i="5"/>
  <c r="H167" i="5"/>
  <c r="G167" i="5"/>
  <c r="E167" i="5"/>
  <c r="I166" i="5"/>
  <c r="C166" i="5"/>
  <c r="E166" i="5"/>
  <c r="I165" i="5"/>
  <c r="C165" i="5"/>
  <c r="E165" i="5"/>
  <c r="J164" i="5"/>
  <c r="I164" i="5"/>
  <c r="H164" i="5"/>
  <c r="F164" i="5"/>
  <c r="U164" i="5"/>
  <c r="S164" i="5"/>
  <c r="T164" i="5"/>
  <c r="R164" i="5"/>
  <c r="E164" i="5"/>
  <c r="D164" i="5"/>
  <c r="C164" i="5"/>
  <c r="B164" i="5"/>
  <c r="A164" i="5"/>
  <c r="J163" i="5"/>
  <c r="I163" i="5"/>
  <c r="H163" i="5"/>
  <c r="G163" i="5"/>
  <c r="F163" i="5"/>
  <c r="J162" i="5"/>
  <c r="I162" i="5"/>
  <c r="Q162" i="5"/>
  <c r="H162" i="5"/>
  <c r="G162" i="5"/>
  <c r="F162" i="5"/>
  <c r="J161" i="5"/>
  <c r="I161" i="5"/>
  <c r="H161" i="5"/>
  <c r="G161" i="5"/>
  <c r="F161" i="5"/>
  <c r="J160" i="5"/>
  <c r="I160" i="5"/>
  <c r="Q160" i="5"/>
  <c r="H160" i="5"/>
  <c r="G160" i="5"/>
  <c r="F160" i="5"/>
  <c r="U159" i="5"/>
  <c r="S159" i="5"/>
  <c r="T159" i="5"/>
  <c r="R159" i="5"/>
  <c r="E159" i="5"/>
  <c r="D159" i="5"/>
  <c r="I159" i="5"/>
  <c r="C159" i="5"/>
  <c r="B159" i="5"/>
  <c r="A159" i="5"/>
  <c r="H157" i="5"/>
  <c r="G157" i="5"/>
  <c r="E157" i="5"/>
  <c r="I156" i="5"/>
  <c r="C156" i="5"/>
  <c r="E156" i="5"/>
  <c r="I155" i="5"/>
  <c r="C155" i="5"/>
  <c r="E155" i="5"/>
  <c r="J154" i="5"/>
  <c r="I154" i="5"/>
  <c r="H154" i="5"/>
  <c r="F154" i="5"/>
  <c r="U154" i="5"/>
  <c r="S154" i="5"/>
  <c r="T154" i="5"/>
  <c r="R154" i="5"/>
  <c r="E154" i="5"/>
  <c r="D154" i="5"/>
  <c r="C154" i="5"/>
  <c r="B154" i="5"/>
  <c r="A154" i="5"/>
  <c r="J153" i="5"/>
  <c r="I153" i="5"/>
  <c r="H153" i="5"/>
  <c r="G153" i="5"/>
  <c r="F153" i="5"/>
  <c r="J152" i="5"/>
  <c r="I152" i="5"/>
  <c r="Q152" i="5"/>
  <c r="H152" i="5"/>
  <c r="G152" i="5"/>
  <c r="F152" i="5"/>
  <c r="U151" i="5"/>
  <c r="J156" i="5" s="1"/>
  <c r="S151" i="5"/>
  <c r="J155" i="5" s="1"/>
  <c r="T151" i="5"/>
  <c r="H156" i="5" s="1"/>
  <c r="R151" i="5"/>
  <c r="H155" i="5" s="1"/>
  <c r="E151" i="5"/>
  <c r="D151" i="5"/>
  <c r="I151" i="5"/>
  <c r="C151" i="5"/>
  <c r="B151" i="5"/>
  <c r="A151" i="5"/>
  <c r="H149" i="5"/>
  <c r="G149" i="5"/>
  <c r="E149" i="5"/>
  <c r="I148" i="5"/>
  <c r="C148" i="5"/>
  <c r="E148" i="5"/>
  <c r="I147" i="5"/>
  <c r="C147" i="5"/>
  <c r="E147" i="5"/>
  <c r="J146" i="5"/>
  <c r="I146" i="5"/>
  <c r="H146" i="5"/>
  <c r="F146" i="5"/>
  <c r="U146" i="5"/>
  <c r="S146" i="5"/>
  <c r="T146" i="5"/>
  <c r="R146" i="5"/>
  <c r="E146" i="5"/>
  <c r="D146" i="5"/>
  <c r="C146" i="5"/>
  <c r="B146" i="5"/>
  <c r="A146" i="5"/>
  <c r="J145" i="5"/>
  <c r="I145" i="5"/>
  <c r="H145" i="5"/>
  <c r="G145" i="5"/>
  <c r="F145" i="5"/>
  <c r="J144" i="5"/>
  <c r="I144" i="5"/>
  <c r="Q144" i="5"/>
  <c r="H144" i="5"/>
  <c r="G144" i="5"/>
  <c r="F144" i="5"/>
  <c r="U143" i="5"/>
  <c r="J148" i="5" s="1"/>
  <c r="S143" i="5"/>
  <c r="J147" i="5" s="1"/>
  <c r="T143" i="5"/>
  <c r="H148" i="5" s="1"/>
  <c r="R143" i="5"/>
  <c r="H147" i="5" s="1"/>
  <c r="E143" i="5"/>
  <c r="D143" i="5"/>
  <c r="I143" i="5"/>
  <c r="C143" i="5"/>
  <c r="B143" i="5"/>
  <c r="A143" i="5"/>
  <c r="A142" i="5"/>
  <c r="A138" i="5"/>
  <c r="H135" i="5"/>
  <c r="G135" i="5"/>
  <c r="E135" i="5"/>
  <c r="I134" i="5"/>
  <c r="C134" i="5"/>
  <c r="E134" i="5"/>
  <c r="I133" i="5"/>
  <c r="C133" i="5"/>
  <c r="E133" i="5"/>
  <c r="J132" i="5"/>
  <c r="I132" i="5"/>
  <c r="Q132" i="5"/>
  <c r="H132" i="5"/>
  <c r="G132" i="5"/>
  <c r="F132" i="5"/>
  <c r="U131" i="5"/>
  <c r="J134" i="5" s="1"/>
  <c r="S131" i="5"/>
  <c r="J133" i="5" s="1"/>
  <c r="T131" i="5"/>
  <c r="H134" i="5" s="1"/>
  <c r="R131" i="5"/>
  <c r="H133" i="5" s="1"/>
  <c r="E131" i="5"/>
  <c r="D131" i="5"/>
  <c r="I131" i="5"/>
  <c r="A131" i="5"/>
  <c r="H129" i="5"/>
  <c r="G129" i="5"/>
  <c r="E129" i="5"/>
  <c r="I128" i="5"/>
  <c r="C128" i="5"/>
  <c r="E128" i="5"/>
  <c r="I127" i="5"/>
  <c r="C127" i="5"/>
  <c r="E127" i="5"/>
  <c r="J126" i="5"/>
  <c r="I126" i="5"/>
  <c r="H126" i="5"/>
  <c r="F126" i="5"/>
  <c r="U126" i="5"/>
  <c r="S126" i="5"/>
  <c r="T126" i="5"/>
  <c r="R126" i="5"/>
  <c r="E126" i="5"/>
  <c r="D126" i="5"/>
  <c r="C126" i="5"/>
  <c r="B126" i="5"/>
  <c r="A126" i="5"/>
  <c r="J125" i="5"/>
  <c r="I125" i="5"/>
  <c r="H125" i="5"/>
  <c r="G125" i="5"/>
  <c r="F125" i="5"/>
  <c r="J124" i="5"/>
  <c r="I124" i="5"/>
  <c r="Q124" i="5"/>
  <c r="H124" i="5"/>
  <c r="G124" i="5"/>
  <c r="F124" i="5"/>
  <c r="J123" i="5"/>
  <c r="I123" i="5"/>
  <c r="H123" i="5"/>
  <c r="G123" i="5"/>
  <c r="F123" i="5"/>
  <c r="J122" i="5"/>
  <c r="I122" i="5"/>
  <c r="Q122" i="5"/>
  <c r="H122" i="5"/>
  <c r="G122" i="5"/>
  <c r="F122" i="5"/>
  <c r="U121" i="5"/>
  <c r="S121" i="5"/>
  <c r="T121" i="5"/>
  <c r="R121" i="5"/>
  <c r="E121" i="5"/>
  <c r="D121" i="5"/>
  <c r="I121" i="5"/>
  <c r="C121" i="5"/>
  <c r="B121" i="5"/>
  <c r="A121" i="5"/>
  <c r="H119" i="5"/>
  <c r="G119" i="5"/>
  <c r="E119" i="5"/>
  <c r="I118" i="5"/>
  <c r="C118" i="5"/>
  <c r="E118" i="5"/>
  <c r="I117" i="5"/>
  <c r="C117" i="5"/>
  <c r="E117" i="5"/>
  <c r="J116" i="5"/>
  <c r="I116" i="5"/>
  <c r="H116" i="5"/>
  <c r="F116" i="5"/>
  <c r="U116" i="5"/>
  <c r="S116" i="5"/>
  <c r="T116" i="5"/>
  <c r="R116" i="5"/>
  <c r="E116" i="5"/>
  <c r="D116" i="5"/>
  <c r="B116" i="5"/>
  <c r="A116" i="5"/>
  <c r="J115" i="5"/>
  <c r="I115" i="5"/>
  <c r="H115" i="5"/>
  <c r="G115" i="5"/>
  <c r="F115" i="5"/>
  <c r="J114" i="5"/>
  <c r="I114" i="5"/>
  <c r="Q114" i="5"/>
  <c r="H114" i="5"/>
  <c r="G114" i="5"/>
  <c r="F114" i="5"/>
  <c r="J113" i="5"/>
  <c r="I113" i="5"/>
  <c r="H113" i="5"/>
  <c r="G113" i="5"/>
  <c r="F113" i="5"/>
  <c r="J112" i="5"/>
  <c r="I112" i="5"/>
  <c r="Q112" i="5"/>
  <c r="H112" i="5"/>
  <c r="G112" i="5"/>
  <c r="F112" i="5"/>
  <c r="U111" i="5"/>
  <c r="S111" i="5"/>
  <c r="T111" i="5"/>
  <c r="R111" i="5"/>
  <c r="E111" i="5"/>
  <c r="D111" i="5"/>
  <c r="I111" i="5"/>
  <c r="C111" i="5"/>
  <c r="B111" i="5"/>
  <c r="A111" i="5"/>
  <c r="H109" i="5"/>
  <c r="G109" i="5"/>
  <c r="E109" i="5"/>
  <c r="I108" i="5"/>
  <c r="C108" i="5"/>
  <c r="E108" i="5"/>
  <c r="I107" i="5"/>
  <c r="C107" i="5"/>
  <c r="E107" i="5"/>
  <c r="J106" i="5"/>
  <c r="I106" i="5"/>
  <c r="H106" i="5"/>
  <c r="F106" i="5"/>
  <c r="U106" i="5"/>
  <c r="S106" i="5"/>
  <c r="T106" i="5"/>
  <c r="R106" i="5"/>
  <c r="E106" i="5"/>
  <c r="D106" i="5"/>
  <c r="C106" i="5"/>
  <c r="B106" i="5"/>
  <c r="A106" i="5"/>
  <c r="J105" i="5"/>
  <c r="I105" i="5"/>
  <c r="H105" i="5"/>
  <c r="G105" i="5"/>
  <c r="F105" i="5"/>
  <c r="J104" i="5"/>
  <c r="I104" i="5"/>
  <c r="Q104" i="5"/>
  <c r="H104" i="5"/>
  <c r="G104" i="5"/>
  <c r="F104" i="5"/>
  <c r="U103" i="5"/>
  <c r="J108" i="5" s="1"/>
  <c r="S103" i="5"/>
  <c r="J107" i="5" s="1"/>
  <c r="T103" i="5"/>
  <c r="H108" i="5" s="1"/>
  <c r="R103" i="5"/>
  <c r="H107" i="5" s="1"/>
  <c r="E103" i="5"/>
  <c r="D103" i="5"/>
  <c r="I103" i="5"/>
  <c r="C103" i="5"/>
  <c r="B103" i="5"/>
  <c r="A103" i="5"/>
  <c r="H101" i="5"/>
  <c r="G101" i="5"/>
  <c r="E101" i="5"/>
  <c r="I100" i="5"/>
  <c r="C100" i="5"/>
  <c r="E100" i="5"/>
  <c r="I99" i="5"/>
  <c r="C99" i="5"/>
  <c r="E99" i="5"/>
  <c r="J98" i="5"/>
  <c r="I98" i="5"/>
  <c r="H98" i="5"/>
  <c r="F98" i="5"/>
  <c r="U98" i="5"/>
  <c r="S98" i="5"/>
  <c r="T98" i="5"/>
  <c r="R98" i="5"/>
  <c r="E98" i="5"/>
  <c r="D98" i="5"/>
  <c r="C98" i="5"/>
  <c r="B98" i="5"/>
  <c r="A98" i="5"/>
  <c r="J97" i="5"/>
  <c r="I97" i="5"/>
  <c r="H97" i="5"/>
  <c r="G97" i="5"/>
  <c r="F97" i="5"/>
  <c r="J96" i="5"/>
  <c r="I96" i="5"/>
  <c r="Q96" i="5"/>
  <c r="H96" i="5"/>
  <c r="G96" i="5"/>
  <c r="F96" i="5"/>
  <c r="U95" i="5"/>
  <c r="J100" i="5" s="1"/>
  <c r="S95" i="5"/>
  <c r="J99" i="5" s="1"/>
  <c r="T95" i="5"/>
  <c r="H100" i="5" s="1"/>
  <c r="R95" i="5"/>
  <c r="H99" i="5" s="1"/>
  <c r="E95" i="5"/>
  <c r="D95" i="5"/>
  <c r="I95" i="5"/>
  <c r="C95" i="5"/>
  <c r="B95" i="5"/>
  <c r="A95" i="5"/>
  <c r="H93" i="5"/>
  <c r="G93" i="5"/>
  <c r="E93" i="5"/>
  <c r="I92" i="5"/>
  <c r="C92" i="5"/>
  <c r="E92" i="5"/>
  <c r="I91" i="5"/>
  <c r="C91" i="5"/>
  <c r="E91" i="5"/>
  <c r="J90" i="5"/>
  <c r="I90" i="5"/>
  <c r="H90" i="5"/>
  <c r="F90" i="5"/>
  <c r="U90" i="5"/>
  <c r="S90" i="5"/>
  <c r="T90" i="5"/>
  <c r="R90" i="5"/>
  <c r="E90" i="5"/>
  <c r="D90" i="5"/>
  <c r="C90" i="5"/>
  <c r="B90" i="5"/>
  <c r="A90" i="5"/>
  <c r="J89" i="5"/>
  <c r="I89" i="5"/>
  <c r="H89" i="5"/>
  <c r="G89" i="5"/>
  <c r="F89" i="5"/>
  <c r="J88" i="5"/>
  <c r="I88" i="5"/>
  <c r="Q88" i="5"/>
  <c r="H88" i="5"/>
  <c r="G88" i="5"/>
  <c r="F88" i="5"/>
  <c r="U87" i="5"/>
  <c r="J92" i="5" s="1"/>
  <c r="S87" i="5"/>
  <c r="J91" i="5" s="1"/>
  <c r="T87" i="5"/>
  <c r="H92" i="5" s="1"/>
  <c r="R87" i="5"/>
  <c r="H91" i="5" s="1"/>
  <c r="E87" i="5"/>
  <c r="D87" i="5"/>
  <c r="I87" i="5"/>
  <c r="C87" i="5"/>
  <c r="B87" i="5"/>
  <c r="A87" i="5"/>
  <c r="H85" i="5"/>
  <c r="G85" i="5"/>
  <c r="E85" i="5"/>
  <c r="I84" i="5"/>
  <c r="C84" i="5"/>
  <c r="E84" i="5"/>
  <c r="I83" i="5"/>
  <c r="C83" i="5"/>
  <c r="E83" i="5"/>
  <c r="J82" i="5"/>
  <c r="I82" i="5"/>
  <c r="H82" i="5"/>
  <c r="F82" i="5"/>
  <c r="U82" i="5"/>
  <c r="S82" i="5"/>
  <c r="T82" i="5"/>
  <c r="R82" i="5"/>
  <c r="E82" i="5"/>
  <c r="D82" i="5"/>
  <c r="C82" i="5"/>
  <c r="B82" i="5"/>
  <c r="A82" i="5"/>
  <c r="J81" i="5"/>
  <c r="I81" i="5"/>
  <c r="H81" i="5"/>
  <c r="G81" i="5"/>
  <c r="F81" i="5"/>
  <c r="J80" i="5"/>
  <c r="I80" i="5"/>
  <c r="Q80" i="5"/>
  <c r="H80" i="5"/>
  <c r="G80" i="5"/>
  <c r="F80" i="5"/>
  <c r="U79" i="5"/>
  <c r="J84" i="5" s="1"/>
  <c r="S79" i="5"/>
  <c r="J83" i="5" s="1"/>
  <c r="T79" i="5"/>
  <c r="H84" i="5" s="1"/>
  <c r="R79" i="5"/>
  <c r="H83" i="5" s="1"/>
  <c r="E79" i="5"/>
  <c r="D79" i="5"/>
  <c r="I79" i="5"/>
  <c r="C79" i="5"/>
  <c r="B79" i="5"/>
  <c r="A79" i="5"/>
  <c r="H77" i="5"/>
  <c r="G77" i="5"/>
  <c r="E77" i="5"/>
  <c r="I76" i="5"/>
  <c r="C76" i="5"/>
  <c r="E76" i="5"/>
  <c r="I75" i="5"/>
  <c r="C75" i="5"/>
  <c r="E75" i="5"/>
  <c r="J74" i="5"/>
  <c r="I74" i="5"/>
  <c r="H74" i="5"/>
  <c r="F74" i="5"/>
  <c r="U74" i="5"/>
  <c r="S74" i="5"/>
  <c r="T74" i="5"/>
  <c r="R74" i="5"/>
  <c r="E74" i="5"/>
  <c r="D74" i="5"/>
  <c r="C74" i="5"/>
  <c r="B74" i="5"/>
  <c r="A74" i="5"/>
  <c r="J73" i="5"/>
  <c r="I73" i="5"/>
  <c r="H73" i="5"/>
  <c r="G73" i="5"/>
  <c r="F73" i="5"/>
  <c r="J72" i="5"/>
  <c r="I72" i="5"/>
  <c r="Q72" i="5"/>
  <c r="H72" i="5"/>
  <c r="G72" i="5"/>
  <c r="F72" i="5"/>
  <c r="J71" i="5"/>
  <c r="I71" i="5"/>
  <c r="H71" i="5"/>
  <c r="G71" i="5"/>
  <c r="F71" i="5"/>
  <c r="J70" i="5"/>
  <c r="I70" i="5"/>
  <c r="Q70" i="5"/>
  <c r="H70" i="5"/>
  <c r="G70" i="5"/>
  <c r="F70" i="5"/>
  <c r="U69" i="5"/>
  <c r="S69" i="5"/>
  <c r="T69" i="5"/>
  <c r="R69" i="5"/>
  <c r="E69" i="5"/>
  <c r="D69" i="5"/>
  <c r="I69" i="5"/>
  <c r="C69" i="5"/>
  <c r="B69" i="5"/>
  <c r="A69" i="5"/>
  <c r="H67" i="5"/>
  <c r="G67" i="5"/>
  <c r="E67" i="5"/>
  <c r="I66" i="5"/>
  <c r="C66" i="5"/>
  <c r="E66" i="5"/>
  <c r="I65" i="5"/>
  <c r="C65" i="5"/>
  <c r="E65" i="5"/>
  <c r="J64" i="5"/>
  <c r="I64" i="5"/>
  <c r="H64" i="5"/>
  <c r="F64" i="5"/>
  <c r="U64" i="5"/>
  <c r="S64" i="5"/>
  <c r="T64" i="5"/>
  <c r="R64" i="5"/>
  <c r="E64" i="5"/>
  <c r="D64" i="5"/>
  <c r="C64" i="5"/>
  <c r="B64" i="5"/>
  <c r="A64" i="5"/>
  <c r="J63" i="5"/>
  <c r="I63" i="5"/>
  <c r="H63" i="5"/>
  <c r="G63" i="5"/>
  <c r="F63" i="5"/>
  <c r="J62" i="5"/>
  <c r="I62" i="5"/>
  <c r="Q62" i="5"/>
  <c r="H62" i="5"/>
  <c r="G62" i="5"/>
  <c r="F62" i="5"/>
  <c r="J61" i="5"/>
  <c r="I61" i="5"/>
  <c r="H61" i="5"/>
  <c r="G61" i="5"/>
  <c r="F61" i="5"/>
  <c r="J60" i="5"/>
  <c r="I60" i="5"/>
  <c r="Q60" i="5"/>
  <c r="H60" i="5"/>
  <c r="G60" i="5"/>
  <c r="F60" i="5"/>
  <c r="U59" i="5"/>
  <c r="S59" i="5"/>
  <c r="T59" i="5"/>
  <c r="R59" i="5"/>
  <c r="E59" i="5"/>
  <c r="D59" i="5"/>
  <c r="I59" i="5"/>
  <c r="C59" i="5"/>
  <c r="B59" i="5"/>
  <c r="A59" i="5"/>
  <c r="H57" i="5"/>
  <c r="G57" i="5"/>
  <c r="E57" i="5"/>
  <c r="I56" i="5"/>
  <c r="C56" i="5"/>
  <c r="E56" i="5"/>
  <c r="I55" i="5"/>
  <c r="C55" i="5"/>
  <c r="E55" i="5"/>
  <c r="J54" i="5"/>
  <c r="I54" i="5"/>
  <c r="H54" i="5"/>
  <c r="F54" i="5"/>
  <c r="U54" i="5"/>
  <c r="S54" i="5"/>
  <c r="T54" i="5"/>
  <c r="R54" i="5"/>
  <c r="E54" i="5"/>
  <c r="D54" i="5"/>
  <c r="C54" i="5"/>
  <c r="B54" i="5"/>
  <c r="A54" i="5"/>
  <c r="J53" i="5"/>
  <c r="I53" i="5"/>
  <c r="H53" i="5"/>
  <c r="G53" i="5"/>
  <c r="F53" i="5"/>
  <c r="J52" i="5"/>
  <c r="I52" i="5"/>
  <c r="Q52" i="5"/>
  <c r="H52" i="5"/>
  <c r="G52" i="5"/>
  <c r="F52" i="5"/>
  <c r="J51" i="5"/>
  <c r="I51" i="5"/>
  <c r="H51" i="5"/>
  <c r="G51" i="5"/>
  <c r="F51" i="5"/>
  <c r="J50" i="5"/>
  <c r="I50" i="5"/>
  <c r="Q50" i="5"/>
  <c r="H50" i="5"/>
  <c r="G50" i="5"/>
  <c r="F50" i="5"/>
  <c r="U49" i="5"/>
  <c r="S49" i="5"/>
  <c r="T49" i="5"/>
  <c r="R49" i="5"/>
  <c r="E49" i="5"/>
  <c r="D49" i="5"/>
  <c r="I49" i="5"/>
  <c r="C49" i="5"/>
  <c r="B49" i="5"/>
  <c r="A49" i="5"/>
  <c r="H47" i="5"/>
  <c r="G47" i="5"/>
  <c r="E47" i="5"/>
  <c r="I46" i="5"/>
  <c r="C46" i="5"/>
  <c r="E46" i="5"/>
  <c r="I45" i="5"/>
  <c r="C45" i="5"/>
  <c r="E45" i="5"/>
  <c r="J44" i="5"/>
  <c r="I44" i="5"/>
  <c r="H44" i="5"/>
  <c r="F44" i="5"/>
  <c r="U44" i="5"/>
  <c r="S44" i="5"/>
  <c r="T44" i="5"/>
  <c r="R44" i="5"/>
  <c r="E44" i="5"/>
  <c r="D44" i="5"/>
  <c r="C44" i="5"/>
  <c r="B44" i="5"/>
  <c r="A44" i="5"/>
  <c r="J43" i="5"/>
  <c r="I43" i="5"/>
  <c r="Q43" i="5"/>
  <c r="H43" i="5"/>
  <c r="G43" i="5"/>
  <c r="F43" i="5"/>
  <c r="U42" i="5"/>
  <c r="S42" i="5"/>
  <c r="T42" i="5"/>
  <c r="R42" i="5"/>
  <c r="E42" i="5"/>
  <c r="D42" i="5"/>
  <c r="I42" i="5"/>
  <c r="C42" i="5"/>
  <c r="B42" i="5"/>
  <c r="A42" i="5"/>
  <c r="H40" i="5"/>
  <c r="G40" i="5"/>
  <c r="E40" i="5"/>
  <c r="I39" i="5"/>
  <c r="C39" i="5"/>
  <c r="E39" i="5"/>
  <c r="I38" i="5"/>
  <c r="C38" i="5"/>
  <c r="E38" i="5"/>
  <c r="J37" i="5"/>
  <c r="I37" i="5"/>
  <c r="H37" i="5"/>
  <c r="F37" i="5"/>
  <c r="U37" i="5"/>
  <c r="S37" i="5"/>
  <c r="T37" i="5"/>
  <c r="R37" i="5"/>
  <c r="E37" i="5"/>
  <c r="D37" i="5"/>
  <c r="C37" i="5"/>
  <c r="B37" i="5"/>
  <c r="A37" i="5"/>
  <c r="J36" i="5"/>
  <c r="I36" i="5"/>
  <c r="Q36" i="5"/>
  <c r="H36" i="5"/>
  <c r="G36" i="5"/>
  <c r="F36" i="5"/>
  <c r="U35" i="5"/>
  <c r="S35" i="5"/>
  <c r="T35" i="5"/>
  <c r="R35" i="5"/>
  <c r="E35" i="5"/>
  <c r="D35" i="5"/>
  <c r="I35" i="5"/>
  <c r="C35" i="5"/>
  <c r="B35" i="5"/>
  <c r="A35" i="5"/>
  <c r="A34" i="5"/>
  <c r="A22" i="5"/>
  <c r="B9" i="5"/>
  <c r="H118" i="5" l="1"/>
  <c r="G94" i="5"/>
  <c r="O94" i="5" s="1"/>
  <c r="J128" i="5"/>
  <c r="H128" i="5"/>
  <c r="J127" i="5"/>
  <c r="J117" i="5"/>
  <c r="G242" i="5"/>
  <c r="O242" i="5" s="1"/>
  <c r="H28" i="5"/>
  <c r="H46" i="5"/>
  <c r="H66" i="5"/>
  <c r="J118" i="5"/>
  <c r="J165" i="5"/>
  <c r="J166" i="5"/>
  <c r="H39" i="5"/>
  <c r="H56" i="5"/>
  <c r="H76" i="5"/>
  <c r="G158" i="5"/>
  <c r="O158" i="5" s="1"/>
  <c r="H165" i="5"/>
  <c r="G260" i="5"/>
  <c r="O260" i="5" s="1"/>
  <c r="H218" i="5"/>
  <c r="G230" i="5"/>
  <c r="O230" i="5" s="1"/>
  <c r="J38" i="5"/>
  <c r="J39" i="5"/>
  <c r="H45" i="5"/>
  <c r="J55" i="5"/>
  <c r="J56" i="5"/>
  <c r="H65" i="5"/>
  <c r="J75" i="5"/>
  <c r="J76" i="5"/>
  <c r="G102" i="5"/>
  <c r="O102" i="5" s="1"/>
  <c r="H117" i="5"/>
  <c r="G120" i="5" s="1"/>
  <c r="O120" i="5" s="1"/>
  <c r="H166" i="5"/>
  <c r="G86" i="5"/>
  <c r="O86" i="5" s="1"/>
  <c r="H38" i="5"/>
  <c r="J45" i="5"/>
  <c r="J46" i="5"/>
  <c r="H55" i="5"/>
  <c r="J65" i="5"/>
  <c r="J66" i="5"/>
  <c r="H75" i="5"/>
  <c r="H127" i="5"/>
  <c r="G150" i="5"/>
  <c r="O150" i="5" s="1"/>
  <c r="G236" i="5"/>
  <c r="O236" i="5" s="1"/>
  <c r="G248" i="5"/>
  <c r="O248" i="5" s="1"/>
  <c r="G266" i="5"/>
  <c r="O266" i="5" s="1"/>
  <c r="I86" i="5"/>
  <c r="P86" i="5" s="1"/>
  <c r="I94" i="5"/>
  <c r="P94" i="5" s="1"/>
  <c r="I102" i="5"/>
  <c r="P102" i="5" s="1"/>
  <c r="I110" i="5"/>
  <c r="P110" i="5" s="1"/>
  <c r="I136" i="5"/>
  <c r="P136" i="5" s="1"/>
  <c r="I236" i="5"/>
  <c r="P236" i="5" s="1"/>
  <c r="I248" i="5"/>
  <c r="P248" i="5" s="1"/>
  <c r="I266" i="5"/>
  <c r="P266" i="5" s="1"/>
  <c r="G110" i="5"/>
  <c r="O110" i="5" s="1"/>
  <c r="G136" i="5"/>
  <c r="O136" i="5" s="1"/>
  <c r="I150" i="5"/>
  <c r="P150" i="5" s="1"/>
  <c r="I158" i="5"/>
  <c r="P158" i="5" s="1"/>
  <c r="I230" i="5"/>
  <c r="P230" i="5" s="1"/>
  <c r="I242" i="5"/>
  <c r="P242" i="5" s="1"/>
  <c r="I260" i="5"/>
  <c r="P260" i="5" s="1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1" i="3"/>
  <c r="CY1" i="3"/>
  <c r="CZ1" i="3"/>
  <c r="DA1" i="3"/>
  <c r="A2" i="3"/>
  <c r="CY2" i="3"/>
  <c r="CZ2" i="3"/>
  <c r="DA2" i="3"/>
  <c r="A3" i="3"/>
  <c r="CY3" i="3"/>
  <c r="CZ3" i="3"/>
  <c r="DA3" i="3"/>
  <c r="A4" i="3"/>
  <c r="CY4" i="3"/>
  <c r="CZ4" i="3"/>
  <c r="DA4" i="3"/>
  <c r="A5" i="3"/>
  <c r="CX5" i="3"/>
  <c r="CY5" i="3"/>
  <c r="CZ5" i="3"/>
  <c r="DA5" i="3"/>
  <c r="A6" i="3"/>
  <c r="CX6" i="3"/>
  <c r="CY6" i="3"/>
  <c r="CZ6" i="3"/>
  <c r="DA6" i="3"/>
  <c r="A7" i="3"/>
  <c r="CX7" i="3"/>
  <c r="CY7" i="3"/>
  <c r="CZ7" i="3"/>
  <c r="DA7" i="3"/>
  <c r="A8" i="3"/>
  <c r="CX8" i="3"/>
  <c r="CY8" i="3"/>
  <c r="CZ8" i="3"/>
  <c r="DA8" i="3"/>
  <c r="A9" i="3"/>
  <c r="CX9" i="3"/>
  <c r="CY9" i="3"/>
  <c r="CZ9" i="3"/>
  <c r="DA9" i="3"/>
  <c r="A10" i="3"/>
  <c r="CX10" i="3"/>
  <c r="CY10" i="3"/>
  <c r="CZ10" i="3"/>
  <c r="DA10" i="3"/>
  <c r="A11" i="3"/>
  <c r="CX11" i="3"/>
  <c r="CY11" i="3"/>
  <c r="CZ11" i="3"/>
  <c r="DA11" i="3"/>
  <c r="A12" i="3"/>
  <c r="CX12" i="3"/>
  <c r="CY12" i="3"/>
  <c r="CZ12" i="3"/>
  <c r="DA12" i="3"/>
  <c r="A13" i="3"/>
  <c r="CX13" i="3"/>
  <c r="CY13" i="3"/>
  <c r="CZ13" i="3"/>
  <c r="DA13" i="3"/>
  <c r="A14" i="3"/>
  <c r="CY14" i="3"/>
  <c r="CZ14" i="3"/>
  <c r="DA14" i="3"/>
  <c r="A15" i="3"/>
  <c r="CY15" i="3"/>
  <c r="CZ15" i="3"/>
  <c r="DA15" i="3"/>
  <c r="A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Y19" i="3"/>
  <c r="CZ19" i="3"/>
  <c r="DA19" i="3"/>
  <c r="A20" i="3"/>
  <c r="CY20" i="3"/>
  <c r="CZ20" i="3"/>
  <c r="DA20" i="3"/>
  <c r="A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Y31" i="3"/>
  <c r="CZ31" i="3"/>
  <c r="DA31" i="3"/>
  <c r="A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Y38" i="3"/>
  <c r="CZ38" i="3"/>
  <c r="DA38" i="3"/>
  <c r="A39" i="3"/>
  <c r="CY39" i="3"/>
  <c r="CZ39" i="3"/>
  <c r="DA39" i="3"/>
  <c r="A40" i="3"/>
  <c r="CY40" i="3"/>
  <c r="CZ40" i="3"/>
  <c r="DA40" i="3"/>
  <c r="A41" i="3"/>
  <c r="CX41" i="3"/>
  <c r="CY41" i="3"/>
  <c r="CZ41" i="3"/>
  <c r="DA41" i="3"/>
  <c r="A42" i="3"/>
  <c r="CX42" i="3"/>
  <c r="CY42" i="3"/>
  <c r="CZ42" i="3"/>
  <c r="DA42" i="3"/>
  <c r="A43" i="3"/>
  <c r="CX43" i="3"/>
  <c r="CY43" i="3"/>
  <c r="CZ43" i="3"/>
  <c r="DA43" i="3"/>
  <c r="A44" i="3"/>
  <c r="CX44" i="3"/>
  <c r="CY44" i="3"/>
  <c r="CZ44" i="3"/>
  <c r="DA44" i="3"/>
  <c r="A45" i="3"/>
  <c r="CX45" i="3"/>
  <c r="CY45" i="3"/>
  <c r="CZ45" i="3"/>
  <c r="DA45" i="3"/>
  <c r="A46" i="3"/>
  <c r="CX46" i="3"/>
  <c r="CY46" i="3"/>
  <c r="CZ46" i="3"/>
  <c r="DA46" i="3"/>
  <c r="A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Y51" i="3"/>
  <c r="CZ51" i="3"/>
  <c r="DA51" i="3"/>
  <c r="A52" i="3"/>
  <c r="CY52" i="3"/>
  <c r="CZ52" i="3"/>
  <c r="DA52" i="3"/>
  <c r="A53" i="3"/>
  <c r="CX53" i="3"/>
  <c r="CY53" i="3"/>
  <c r="CZ53" i="3"/>
  <c r="DA53" i="3"/>
  <c r="A54" i="3"/>
  <c r="CX54" i="3"/>
  <c r="CY54" i="3"/>
  <c r="CZ54" i="3"/>
  <c r="DA54" i="3"/>
  <c r="A55" i="3"/>
  <c r="CX55" i="3"/>
  <c r="CY55" i="3"/>
  <c r="CZ55" i="3"/>
  <c r="DA55" i="3"/>
  <c r="A56" i="3"/>
  <c r="CX56" i="3"/>
  <c r="CY56" i="3"/>
  <c r="CZ56" i="3"/>
  <c r="DA56" i="3"/>
  <c r="A57" i="3"/>
  <c r="CX57" i="3"/>
  <c r="CY57" i="3"/>
  <c r="CZ57" i="3"/>
  <c r="DA57" i="3"/>
  <c r="A58" i="3"/>
  <c r="CX58" i="3"/>
  <c r="CY58" i="3"/>
  <c r="CZ58" i="3"/>
  <c r="DA58" i="3"/>
  <c r="A59" i="3"/>
  <c r="CX59" i="3"/>
  <c r="CY59" i="3"/>
  <c r="CZ59" i="3"/>
  <c r="DA59" i="3"/>
  <c r="A60" i="3"/>
  <c r="CX60" i="3"/>
  <c r="CY60" i="3"/>
  <c r="CZ60" i="3"/>
  <c r="DA60" i="3"/>
  <c r="A61" i="3"/>
  <c r="CX61" i="3"/>
  <c r="CY61" i="3"/>
  <c r="CZ61" i="3"/>
  <c r="DA61" i="3"/>
  <c r="A62" i="3"/>
  <c r="CX62" i="3"/>
  <c r="CY62" i="3"/>
  <c r="CZ62" i="3"/>
  <c r="DA62" i="3"/>
  <c r="A63" i="3"/>
  <c r="CY63" i="3"/>
  <c r="CZ63" i="3"/>
  <c r="DA63" i="3"/>
  <c r="A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Y67" i="3"/>
  <c r="CZ67" i="3"/>
  <c r="DA67" i="3"/>
  <c r="A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X76" i="3"/>
  <c r="CY76" i="3"/>
  <c r="CZ76" i="3"/>
  <c r="DA76" i="3"/>
  <c r="A77" i="3"/>
  <c r="CX77" i="3"/>
  <c r="CY77" i="3"/>
  <c r="CZ77" i="3"/>
  <c r="DA77" i="3"/>
  <c r="A78" i="3"/>
  <c r="CX78" i="3"/>
  <c r="CY78" i="3"/>
  <c r="CZ78" i="3"/>
  <c r="DA78" i="3"/>
  <c r="A79" i="3"/>
  <c r="CX79" i="3"/>
  <c r="CY79" i="3"/>
  <c r="CZ79" i="3"/>
  <c r="DA79" i="3"/>
  <c r="A80" i="3"/>
  <c r="CX80" i="3"/>
  <c r="CY80" i="3"/>
  <c r="CZ80" i="3"/>
  <c r="DA80" i="3"/>
  <c r="A81" i="3"/>
  <c r="CX81" i="3"/>
  <c r="CY81" i="3"/>
  <c r="CZ81" i="3"/>
  <c r="DA81" i="3"/>
  <c r="A82" i="3"/>
  <c r="CY82" i="3"/>
  <c r="CZ82" i="3"/>
  <c r="DA82" i="3"/>
  <c r="A83" i="3"/>
  <c r="CY83" i="3"/>
  <c r="CZ83" i="3"/>
  <c r="DA83" i="3"/>
  <c r="A84" i="3"/>
  <c r="CY84" i="3"/>
  <c r="CZ84" i="3"/>
  <c r="DA84" i="3"/>
  <c r="A85" i="3"/>
  <c r="CY85" i="3"/>
  <c r="CZ85" i="3"/>
  <c r="DA85" i="3"/>
  <c r="A86" i="3"/>
  <c r="CY86" i="3"/>
  <c r="CZ86" i="3"/>
  <c r="DA86" i="3"/>
  <c r="A87" i="3"/>
  <c r="CY87" i="3"/>
  <c r="CZ87" i="3"/>
  <c r="DA87" i="3"/>
  <c r="A88" i="3"/>
  <c r="CY88" i="3"/>
  <c r="CZ88" i="3"/>
  <c r="DA88" i="3"/>
  <c r="A89" i="3"/>
  <c r="CY89" i="3"/>
  <c r="CZ89" i="3"/>
  <c r="DA89" i="3"/>
  <c r="A90" i="3"/>
  <c r="CY90" i="3"/>
  <c r="CZ90" i="3"/>
  <c r="DA90" i="3"/>
  <c r="A91" i="3"/>
  <c r="CY91" i="3"/>
  <c r="CZ91" i="3"/>
  <c r="DA91" i="3"/>
  <c r="A92" i="3"/>
  <c r="CY92" i="3"/>
  <c r="CZ92" i="3"/>
  <c r="DA92" i="3"/>
  <c r="A93" i="3"/>
  <c r="CY93" i="3"/>
  <c r="CZ93" i="3"/>
  <c r="DA93" i="3"/>
  <c r="A94" i="3"/>
  <c r="CX94" i="3"/>
  <c r="CY94" i="3"/>
  <c r="CZ94" i="3"/>
  <c r="DA94" i="3"/>
  <c r="A95" i="3"/>
  <c r="CX95" i="3"/>
  <c r="CY95" i="3"/>
  <c r="CZ95" i="3"/>
  <c r="DA95" i="3"/>
  <c r="A96" i="3"/>
  <c r="CX96" i="3"/>
  <c r="CY96" i="3"/>
  <c r="CZ96" i="3"/>
  <c r="DA96" i="3"/>
  <c r="A97" i="3"/>
  <c r="CX97" i="3"/>
  <c r="CY97" i="3"/>
  <c r="CZ97" i="3"/>
  <c r="DA97" i="3"/>
  <c r="A98" i="3"/>
  <c r="CX98" i="3"/>
  <c r="CY98" i="3"/>
  <c r="CZ98" i="3"/>
  <c r="DA98" i="3"/>
  <c r="A99" i="3"/>
  <c r="CX99" i="3"/>
  <c r="CY99" i="3"/>
  <c r="CZ99" i="3"/>
  <c r="DA99" i="3"/>
  <c r="A100" i="3"/>
  <c r="CX100" i="3"/>
  <c r="CY100" i="3"/>
  <c r="CZ100" i="3"/>
  <c r="DA100" i="3"/>
  <c r="A101" i="3"/>
  <c r="CX101" i="3"/>
  <c r="CY101" i="3"/>
  <c r="CZ101" i="3"/>
  <c r="DA101" i="3"/>
  <c r="A102" i="3"/>
  <c r="CX102" i="3"/>
  <c r="CY102" i="3"/>
  <c r="CZ102" i="3"/>
  <c r="DA102" i="3"/>
  <c r="A103" i="3"/>
  <c r="CX103" i="3"/>
  <c r="CY103" i="3"/>
  <c r="CZ103" i="3"/>
  <c r="DA103" i="3"/>
  <c r="A104" i="3"/>
  <c r="CX104" i="3"/>
  <c r="CY104" i="3"/>
  <c r="CZ104" i="3"/>
  <c r="DA104" i="3"/>
  <c r="A105" i="3"/>
  <c r="CX105" i="3"/>
  <c r="CY105" i="3"/>
  <c r="CZ105" i="3"/>
  <c r="DA105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CX1" i="3" s="1"/>
  <c r="AC28" i="1"/>
  <c r="AE28" i="1"/>
  <c r="AD28" i="1" s="1"/>
  <c r="CR28" i="1" s="1"/>
  <c r="Q28" i="1" s="1"/>
  <c r="AF28" i="1"/>
  <c r="AG28" i="1"/>
  <c r="CU28" i="1" s="1"/>
  <c r="T28" i="1" s="1"/>
  <c r="AH28" i="1"/>
  <c r="AI28" i="1"/>
  <c r="AJ28" i="1"/>
  <c r="CS28" i="1"/>
  <c r="R28" i="1" s="1"/>
  <c r="GK28" i="1" s="1"/>
  <c r="CT28" i="1"/>
  <c r="S28" i="1" s="1"/>
  <c r="CV28" i="1"/>
  <c r="U28" i="1" s="1"/>
  <c r="CW28" i="1"/>
  <c r="V28" i="1" s="1"/>
  <c r="CX28" i="1"/>
  <c r="W28" i="1" s="1"/>
  <c r="FR28" i="1"/>
  <c r="GL28" i="1"/>
  <c r="GO28" i="1"/>
  <c r="GP28" i="1"/>
  <c r="GV28" i="1"/>
  <c r="GX28" i="1"/>
  <c r="I29" i="1"/>
  <c r="R29" i="1" s="1"/>
  <c r="GK29" i="1" s="1"/>
  <c r="AC29" i="1"/>
  <c r="CQ29" i="1" s="1"/>
  <c r="P29" i="1" s="1"/>
  <c r="AE29" i="1"/>
  <c r="AD29" i="1" s="1"/>
  <c r="CR29" i="1" s="1"/>
  <c r="Q29" i="1" s="1"/>
  <c r="AF29" i="1"/>
  <c r="CT29" i="1" s="1"/>
  <c r="AG29" i="1"/>
  <c r="CU29" i="1" s="1"/>
  <c r="AH29" i="1"/>
  <c r="AI29" i="1"/>
  <c r="AJ29" i="1"/>
  <c r="CX29" i="1" s="1"/>
  <c r="CS29" i="1"/>
  <c r="CV29" i="1"/>
  <c r="U29" i="1" s="1"/>
  <c r="CW29" i="1"/>
  <c r="V29" i="1" s="1"/>
  <c r="FR29" i="1"/>
  <c r="GL29" i="1"/>
  <c r="GO29" i="1"/>
  <c r="GP29" i="1"/>
  <c r="GV29" i="1"/>
  <c r="GX29" i="1"/>
  <c r="C30" i="1"/>
  <c r="D30" i="1"/>
  <c r="I30" i="1"/>
  <c r="CX4" i="3" s="1"/>
  <c r="AC30" i="1"/>
  <c r="AD30" i="1"/>
  <c r="CR30" i="1" s="1"/>
  <c r="Q30" i="1" s="1"/>
  <c r="AE30" i="1"/>
  <c r="AF30" i="1"/>
  <c r="AG30" i="1"/>
  <c r="CU30" i="1" s="1"/>
  <c r="T30" i="1" s="1"/>
  <c r="AH30" i="1"/>
  <c r="CV30" i="1" s="1"/>
  <c r="U30" i="1" s="1"/>
  <c r="AI30" i="1"/>
  <c r="AJ30" i="1"/>
  <c r="CS30" i="1"/>
  <c r="R30" i="1" s="1"/>
  <c r="GK30" i="1" s="1"/>
  <c r="CT30" i="1"/>
  <c r="S30" i="1" s="1"/>
  <c r="CW30" i="1"/>
  <c r="V30" i="1" s="1"/>
  <c r="CX30" i="1"/>
  <c r="W30" i="1" s="1"/>
  <c r="FR30" i="1"/>
  <c r="GL30" i="1"/>
  <c r="GO30" i="1"/>
  <c r="GP30" i="1"/>
  <c r="GV30" i="1"/>
  <c r="GX30" i="1"/>
  <c r="I31" i="1"/>
  <c r="R31" i="1"/>
  <c r="GK31" i="1" s="1"/>
  <c r="AC31" i="1"/>
  <c r="CQ31" i="1" s="1"/>
  <c r="P31" i="1" s="1"/>
  <c r="AE31" i="1"/>
  <c r="AD31" i="1" s="1"/>
  <c r="CR31" i="1" s="1"/>
  <c r="Q31" i="1" s="1"/>
  <c r="AF31" i="1"/>
  <c r="CT31" i="1" s="1"/>
  <c r="S31" i="1" s="1"/>
  <c r="AG31" i="1"/>
  <c r="CU31" i="1" s="1"/>
  <c r="AH31" i="1"/>
  <c r="AI31" i="1"/>
  <c r="AJ31" i="1"/>
  <c r="CX31" i="1" s="1"/>
  <c r="W31" i="1" s="1"/>
  <c r="CS31" i="1"/>
  <c r="CV31" i="1"/>
  <c r="U31" i="1" s="1"/>
  <c r="CW31" i="1"/>
  <c r="V31" i="1" s="1"/>
  <c r="FR31" i="1"/>
  <c r="GL31" i="1"/>
  <c r="GO31" i="1"/>
  <c r="GP31" i="1"/>
  <c r="GV31" i="1"/>
  <c r="GX31" i="1"/>
  <c r="C32" i="1"/>
  <c r="D32" i="1"/>
  <c r="X32" i="1"/>
  <c r="AC32" i="1"/>
  <c r="AB32" i="1" s="1"/>
  <c r="AD32" i="1"/>
  <c r="CR32" i="1" s="1"/>
  <c r="Q32" i="1" s="1"/>
  <c r="AE32" i="1"/>
  <c r="CS32" i="1" s="1"/>
  <c r="R32" i="1" s="1"/>
  <c r="GK32" i="1" s="1"/>
  <c r="AF32" i="1"/>
  <c r="AG32" i="1"/>
  <c r="AH32" i="1"/>
  <c r="CV32" i="1" s="1"/>
  <c r="U32" i="1" s="1"/>
  <c r="AI32" i="1"/>
  <c r="CW32" i="1" s="1"/>
  <c r="V32" i="1" s="1"/>
  <c r="AJ32" i="1"/>
  <c r="CQ32" i="1"/>
  <c r="P32" i="1" s="1"/>
  <c r="CP32" i="1" s="1"/>
  <c r="O32" i="1" s="1"/>
  <c r="CT32" i="1"/>
  <c r="S32" i="1" s="1"/>
  <c r="CU32" i="1"/>
  <c r="T32" i="1" s="1"/>
  <c r="CX32" i="1"/>
  <c r="W32" i="1" s="1"/>
  <c r="CY32" i="1"/>
  <c r="FR32" i="1"/>
  <c r="GL32" i="1"/>
  <c r="GN32" i="1"/>
  <c r="GP32" i="1"/>
  <c r="GV32" i="1"/>
  <c r="GX32" i="1" s="1"/>
  <c r="I33" i="1"/>
  <c r="AC33" i="1"/>
  <c r="CQ33" i="1" s="1"/>
  <c r="P33" i="1" s="1"/>
  <c r="AE33" i="1"/>
  <c r="AD33" i="1" s="1"/>
  <c r="CR33" i="1" s="1"/>
  <c r="Q33" i="1" s="1"/>
  <c r="AF33" i="1"/>
  <c r="CT33" i="1" s="1"/>
  <c r="S33" i="1" s="1"/>
  <c r="AG33" i="1"/>
  <c r="CU33" i="1" s="1"/>
  <c r="T33" i="1" s="1"/>
  <c r="AH33" i="1"/>
  <c r="AI33" i="1"/>
  <c r="AJ33" i="1"/>
  <c r="CX33" i="1" s="1"/>
  <c r="W33" i="1" s="1"/>
  <c r="CS33" i="1"/>
  <c r="R33" i="1" s="1"/>
  <c r="GK33" i="1" s="1"/>
  <c r="CV33" i="1"/>
  <c r="U33" i="1" s="1"/>
  <c r="CW33" i="1"/>
  <c r="V33" i="1" s="1"/>
  <c r="FR33" i="1"/>
  <c r="GL33" i="1"/>
  <c r="GN33" i="1"/>
  <c r="GP33" i="1"/>
  <c r="GV33" i="1"/>
  <c r="GX33" i="1" s="1"/>
  <c r="C34" i="1"/>
  <c r="D34" i="1"/>
  <c r="I34" i="1"/>
  <c r="I35" i="1" s="1"/>
  <c r="AC34" i="1"/>
  <c r="CQ34" i="1" s="1"/>
  <c r="P34" i="1" s="1"/>
  <c r="AE34" i="1"/>
  <c r="AD34" i="1" s="1"/>
  <c r="AF34" i="1"/>
  <c r="CT34" i="1" s="1"/>
  <c r="S34" i="1" s="1"/>
  <c r="AG34" i="1"/>
  <c r="CU34" i="1" s="1"/>
  <c r="T34" i="1" s="1"/>
  <c r="AH34" i="1"/>
  <c r="AI34" i="1"/>
  <c r="AJ34" i="1"/>
  <c r="CX34" i="1" s="1"/>
  <c r="W34" i="1" s="1"/>
  <c r="CS34" i="1"/>
  <c r="R34" i="1" s="1"/>
  <c r="GK34" i="1" s="1"/>
  <c r="CV34" i="1"/>
  <c r="U34" i="1" s="1"/>
  <c r="CW34" i="1"/>
  <c r="V34" i="1" s="1"/>
  <c r="FR34" i="1"/>
  <c r="GL34" i="1"/>
  <c r="GN34" i="1"/>
  <c r="GP34" i="1"/>
  <c r="GV34" i="1"/>
  <c r="GX34" i="1"/>
  <c r="AC35" i="1"/>
  <c r="AE35" i="1"/>
  <c r="AD35" i="1" s="1"/>
  <c r="AF35" i="1"/>
  <c r="CT35" i="1" s="1"/>
  <c r="S35" i="1" s="1"/>
  <c r="AG35" i="1"/>
  <c r="AH35" i="1"/>
  <c r="AI35" i="1"/>
  <c r="CW35" i="1" s="1"/>
  <c r="V35" i="1" s="1"/>
  <c r="AJ35" i="1"/>
  <c r="CX35" i="1" s="1"/>
  <c r="W35" i="1" s="1"/>
  <c r="CQ35" i="1"/>
  <c r="P35" i="1" s="1"/>
  <c r="CU35" i="1"/>
  <c r="T35" i="1" s="1"/>
  <c r="CV35" i="1"/>
  <c r="U35" i="1" s="1"/>
  <c r="FR35" i="1"/>
  <c r="GL35" i="1"/>
  <c r="GN35" i="1"/>
  <c r="GP35" i="1"/>
  <c r="GV35" i="1"/>
  <c r="GX35" i="1" s="1"/>
  <c r="C36" i="1"/>
  <c r="D36" i="1"/>
  <c r="I36" i="1"/>
  <c r="I37" i="1" s="1"/>
  <c r="AC36" i="1"/>
  <c r="CQ36" i="1" s="1"/>
  <c r="P36" i="1" s="1"/>
  <c r="AE36" i="1"/>
  <c r="AD36" i="1" s="1"/>
  <c r="AF36" i="1"/>
  <c r="CT36" i="1" s="1"/>
  <c r="S36" i="1" s="1"/>
  <c r="AG36" i="1"/>
  <c r="CU36" i="1" s="1"/>
  <c r="T36" i="1" s="1"/>
  <c r="AH36" i="1"/>
  <c r="AI36" i="1"/>
  <c r="AJ36" i="1"/>
  <c r="CX36" i="1" s="1"/>
  <c r="W36" i="1" s="1"/>
  <c r="CS36" i="1"/>
  <c r="R36" i="1" s="1"/>
  <c r="GK36" i="1" s="1"/>
  <c r="CV36" i="1"/>
  <c r="U36" i="1" s="1"/>
  <c r="CW36" i="1"/>
  <c r="V36" i="1" s="1"/>
  <c r="FR36" i="1"/>
  <c r="GL36" i="1"/>
  <c r="GN36" i="1"/>
  <c r="GP36" i="1"/>
  <c r="GV36" i="1"/>
  <c r="GX36" i="1"/>
  <c r="AC37" i="1"/>
  <c r="AE37" i="1"/>
  <c r="AD37" i="1" s="1"/>
  <c r="AF37" i="1"/>
  <c r="CT37" i="1" s="1"/>
  <c r="S37" i="1" s="1"/>
  <c r="AG37" i="1"/>
  <c r="AH37" i="1"/>
  <c r="AI37" i="1"/>
  <c r="CW37" i="1" s="1"/>
  <c r="V37" i="1" s="1"/>
  <c r="AJ37" i="1"/>
  <c r="CX37" i="1" s="1"/>
  <c r="W37" i="1" s="1"/>
  <c r="CQ37" i="1"/>
  <c r="P37" i="1" s="1"/>
  <c r="CU37" i="1"/>
  <c r="CV37" i="1"/>
  <c r="U37" i="1" s="1"/>
  <c r="FR37" i="1"/>
  <c r="GL37" i="1"/>
  <c r="GN37" i="1"/>
  <c r="GP37" i="1"/>
  <c r="GV37" i="1"/>
  <c r="GX37" i="1" s="1"/>
  <c r="C38" i="1"/>
  <c r="D38" i="1"/>
  <c r="I38" i="1"/>
  <c r="I39" i="1" s="1"/>
  <c r="AC38" i="1"/>
  <c r="CQ38" i="1" s="1"/>
  <c r="P38" i="1" s="1"/>
  <c r="AE38" i="1"/>
  <c r="AD38" i="1" s="1"/>
  <c r="AF38" i="1"/>
  <c r="CT38" i="1" s="1"/>
  <c r="S38" i="1" s="1"/>
  <c r="AG38" i="1"/>
  <c r="CU38" i="1" s="1"/>
  <c r="T38" i="1" s="1"/>
  <c r="AH38" i="1"/>
  <c r="AI38" i="1"/>
  <c r="AJ38" i="1"/>
  <c r="CX38" i="1" s="1"/>
  <c r="W38" i="1" s="1"/>
  <c r="CS38" i="1"/>
  <c r="R38" i="1" s="1"/>
  <c r="GK38" i="1" s="1"/>
  <c r="CV38" i="1"/>
  <c r="U38" i="1" s="1"/>
  <c r="CW38" i="1"/>
  <c r="V38" i="1" s="1"/>
  <c r="FR38" i="1"/>
  <c r="GL38" i="1"/>
  <c r="GN38" i="1"/>
  <c r="GP38" i="1"/>
  <c r="GV38" i="1"/>
  <c r="GX38" i="1"/>
  <c r="AC39" i="1"/>
  <c r="AE39" i="1"/>
  <c r="AD39" i="1" s="1"/>
  <c r="AF39" i="1"/>
  <c r="CT39" i="1" s="1"/>
  <c r="AG39" i="1"/>
  <c r="AH39" i="1"/>
  <c r="AI39" i="1"/>
  <c r="CW39" i="1" s="1"/>
  <c r="V39" i="1" s="1"/>
  <c r="AJ39" i="1"/>
  <c r="CX39" i="1" s="1"/>
  <c r="W39" i="1" s="1"/>
  <c r="CQ39" i="1"/>
  <c r="P39" i="1" s="1"/>
  <c r="CU39" i="1"/>
  <c r="T39" i="1" s="1"/>
  <c r="CV39" i="1"/>
  <c r="U39" i="1" s="1"/>
  <c r="FR39" i="1"/>
  <c r="GL39" i="1"/>
  <c r="GN39" i="1"/>
  <c r="GP39" i="1"/>
  <c r="GV39" i="1"/>
  <c r="GX39" i="1" s="1"/>
  <c r="C40" i="1"/>
  <c r="D40" i="1"/>
  <c r="AC40" i="1"/>
  <c r="AB40" i="1" s="1"/>
  <c r="AD40" i="1"/>
  <c r="CR40" i="1" s="1"/>
  <c r="Q40" i="1" s="1"/>
  <c r="AE40" i="1"/>
  <c r="AF40" i="1"/>
  <c r="AG40" i="1"/>
  <c r="CU40" i="1" s="1"/>
  <c r="T40" i="1" s="1"/>
  <c r="AH40" i="1"/>
  <c r="CV40" i="1" s="1"/>
  <c r="U40" i="1" s="1"/>
  <c r="AI40" i="1"/>
  <c r="AJ40" i="1"/>
  <c r="CS40" i="1"/>
  <c r="R40" i="1" s="1"/>
  <c r="GK40" i="1" s="1"/>
  <c r="CT40" i="1"/>
  <c r="S40" i="1" s="1"/>
  <c r="CW40" i="1"/>
  <c r="V40" i="1" s="1"/>
  <c r="CX40" i="1"/>
  <c r="W40" i="1" s="1"/>
  <c r="FR40" i="1"/>
  <c r="GL40" i="1"/>
  <c r="GN40" i="1"/>
  <c r="GP40" i="1"/>
  <c r="GV40" i="1"/>
  <c r="GX40" i="1"/>
  <c r="I41" i="1"/>
  <c r="V41" i="1"/>
  <c r="AC41" i="1"/>
  <c r="CQ41" i="1" s="1"/>
  <c r="P41" i="1" s="1"/>
  <c r="AE41" i="1"/>
  <c r="AD41" i="1" s="1"/>
  <c r="CR41" i="1" s="1"/>
  <c r="Q41" i="1" s="1"/>
  <c r="AF41" i="1"/>
  <c r="CT41" i="1" s="1"/>
  <c r="S41" i="1" s="1"/>
  <c r="AG41" i="1"/>
  <c r="CU41" i="1" s="1"/>
  <c r="T41" i="1" s="1"/>
  <c r="AH41" i="1"/>
  <c r="AI41" i="1"/>
  <c r="AJ41" i="1"/>
  <c r="CX41" i="1" s="1"/>
  <c r="W41" i="1" s="1"/>
  <c r="CS41" i="1"/>
  <c r="R41" i="1" s="1"/>
  <c r="GK41" i="1" s="1"/>
  <c r="CV41" i="1"/>
  <c r="U41" i="1" s="1"/>
  <c r="CW41" i="1"/>
  <c r="FR41" i="1"/>
  <c r="GL41" i="1"/>
  <c r="GN41" i="1"/>
  <c r="GP41" i="1"/>
  <c r="GV41" i="1"/>
  <c r="GX41" i="1"/>
  <c r="C42" i="1"/>
  <c r="D42" i="1"/>
  <c r="I42" i="1"/>
  <c r="S42" i="1"/>
  <c r="AC42" i="1"/>
  <c r="AB42" i="1" s="1"/>
  <c r="AD42" i="1"/>
  <c r="CR42" i="1" s="1"/>
  <c r="Q42" i="1" s="1"/>
  <c r="AE42" i="1"/>
  <c r="AF42" i="1"/>
  <c r="AG42" i="1"/>
  <c r="AH42" i="1"/>
  <c r="CV42" i="1" s="1"/>
  <c r="U42" i="1" s="1"/>
  <c r="AI42" i="1"/>
  <c r="AJ42" i="1"/>
  <c r="CQ42" i="1"/>
  <c r="P42" i="1" s="1"/>
  <c r="CP42" i="1" s="1"/>
  <c r="O42" i="1" s="1"/>
  <c r="CS42" i="1"/>
  <c r="R42" i="1" s="1"/>
  <c r="GK42" i="1" s="1"/>
  <c r="CT42" i="1"/>
  <c r="CU42" i="1"/>
  <c r="T42" i="1" s="1"/>
  <c r="CW42" i="1"/>
  <c r="V42" i="1" s="1"/>
  <c r="CX42" i="1"/>
  <c r="W42" i="1" s="1"/>
  <c r="FR42" i="1"/>
  <c r="GL42" i="1"/>
  <c r="GN42" i="1"/>
  <c r="GP42" i="1"/>
  <c r="GV42" i="1"/>
  <c r="GX42" i="1"/>
  <c r="I43" i="1"/>
  <c r="Q43" i="1"/>
  <c r="V43" i="1"/>
  <c r="AC43" i="1"/>
  <c r="AB43" i="1" s="1"/>
  <c r="AE43" i="1"/>
  <c r="AD43" i="1" s="1"/>
  <c r="AF43" i="1"/>
  <c r="AG43" i="1"/>
  <c r="AH43" i="1"/>
  <c r="CV43" i="1" s="1"/>
  <c r="U43" i="1" s="1"/>
  <c r="AI43" i="1"/>
  <c r="AJ43" i="1"/>
  <c r="CQ43" i="1"/>
  <c r="P43" i="1" s="1"/>
  <c r="CR43" i="1"/>
  <c r="CS43" i="1"/>
  <c r="R43" i="1" s="1"/>
  <c r="GK43" i="1" s="1"/>
  <c r="CT43" i="1"/>
  <c r="S43" i="1" s="1"/>
  <c r="CU43" i="1"/>
  <c r="T43" i="1" s="1"/>
  <c r="CW43" i="1"/>
  <c r="CX43" i="1"/>
  <c r="W43" i="1" s="1"/>
  <c r="FR43" i="1"/>
  <c r="GL43" i="1"/>
  <c r="GN43" i="1"/>
  <c r="GP43" i="1"/>
  <c r="GV43" i="1"/>
  <c r="GX43" i="1"/>
  <c r="C44" i="1"/>
  <c r="D44" i="1"/>
  <c r="I44" i="1"/>
  <c r="AC44" i="1"/>
  <c r="AE44" i="1"/>
  <c r="CS44" i="1" s="1"/>
  <c r="R44" i="1" s="1"/>
  <c r="GK44" i="1" s="1"/>
  <c r="AF44" i="1"/>
  <c r="AG44" i="1"/>
  <c r="CU44" i="1" s="1"/>
  <c r="T44" i="1" s="1"/>
  <c r="AH44" i="1"/>
  <c r="AI44" i="1"/>
  <c r="CW44" i="1" s="1"/>
  <c r="V44" i="1" s="1"/>
  <c r="AJ44" i="1"/>
  <c r="CT44" i="1"/>
  <c r="S44" i="1" s="1"/>
  <c r="CV44" i="1"/>
  <c r="U44" i="1" s="1"/>
  <c r="CX44" i="1"/>
  <c r="W44" i="1" s="1"/>
  <c r="FR44" i="1"/>
  <c r="GL44" i="1"/>
  <c r="GN44" i="1"/>
  <c r="GP44" i="1"/>
  <c r="GV44" i="1"/>
  <c r="GX44" i="1" s="1"/>
  <c r="I45" i="1"/>
  <c r="AC45" i="1"/>
  <c r="AB45" i="1" s="1"/>
  <c r="AD45" i="1"/>
  <c r="CR45" i="1" s="1"/>
  <c r="Q45" i="1" s="1"/>
  <c r="AE45" i="1"/>
  <c r="AF45" i="1"/>
  <c r="AG45" i="1"/>
  <c r="AH45" i="1"/>
  <c r="CV45" i="1" s="1"/>
  <c r="U45" i="1" s="1"/>
  <c r="AI45" i="1"/>
  <c r="AJ45" i="1"/>
  <c r="CQ45" i="1"/>
  <c r="P45" i="1" s="1"/>
  <c r="CS45" i="1"/>
  <c r="R45" i="1" s="1"/>
  <c r="GK45" i="1" s="1"/>
  <c r="CT45" i="1"/>
  <c r="S45" i="1" s="1"/>
  <c r="CU45" i="1"/>
  <c r="T45" i="1" s="1"/>
  <c r="CW45" i="1"/>
  <c r="V45" i="1" s="1"/>
  <c r="CX45" i="1"/>
  <c r="W45" i="1" s="1"/>
  <c r="FR45" i="1"/>
  <c r="GL45" i="1"/>
  <c r="GN45" i="1"/>
  <c r="GP45" i="1"/>
  <c r="GV45" i="1"/>
  <c r="GX45" i="1"/>
  <c r="C46" i="1"/>
  <c r="D46" i="1"/>
  <c r="AC46" i="1"/>
  <c r="AD46" i="1"/>
  <c r="CR46" i="1" s="1"/>
  <c r="Q46" i="1" s="1"/>
  <c r="AE46" i="1"/>
  <c r="AF46" i="1"/>
  <c r="CT46" i="1" s="1"/>
  <c r="S46" i="1" s="1"/>
  <c r="AG46" i="1"/>
  <c r="AH46" i="1"/>
  <c r="CV46" i="1" s="1"/>
  <c r="U46" i="1" s="1"/>
  <c r="AI46" i="1"/>
  <c r="AJ46" i="1"/>
  <c r="CX46" i="1" s="1"/>
  <c r="W46" i="1" s="1"/>
  <c r="CQ46" i="1"/>
  <c r="P46" i="1" s="1"/>
  <c r="CS46" i="1"/>
  <c r="R46" i="1" s="1"/>
  <c r="GK46" i="1" s="1"/>
  <c r="CU46" i="1"/>
  <c r="T46" i="1" s="1"/>
  <c r="CW46" i="1"/>
  <c r="V46" i="1" s="1"/>
  <c r="FR46" i="1"/>
  <c r="GL46" i="1"/>
  <c r="GN46" i="1"/>
  <c r="GP46" i="1"/>
  <c r="GV46" i="1"/>
  <c r="GX46" i="1"/>
  <c r="I47" i="1"/>
  <c r="AC47" i="1"/>
  <c r="AE47" i="1"/>
  <c r="CS47" i="1" s="1"/>
  <c r="R47" i="1" s="1"/>
  <c r="GK47" i="1" s="1"/>
  <c r="AF47" i="1"/>
  <c r="AG47" i="1"/>
  <c r="CU47" i="1" s="1"/>
  <c r="T47" i="1" s="1"/>
  <c r="AH47" i="1"/>
  <c r="AI47" i="1"/>
  <c r="CW47" i="1" s="1"/>
  <c r="V47" i="1" s="1"/>
  <c r="AJ47" i="1"/>
  <c r="CT47" i="1"/>
  <c r="S47" i="1" s="1"/>
  <c r="CV47" i="1"/>
  <c r="U47" i="1" s="1"/>
  <c r="CX47" i="1"/>
  <c r="W47" i="1" s="1"/>
  <c r="FR47" i="1"/>
  <c r="GL47" i="1"/>
  <c r="GN47" i="1"/>
  <c r="GP47" i="1"/>
  <c r="GV47" i="1"/>
  <c r="GX47" i="1" s="1"/>
  <c r="C48" i="1"/>
  <c r="D48" i="1"/>
  <c r="I48" i="1"/>
  <c r="AC48" i="1"/>
  <c r="AD48" i="1"/>
  <c r="CR48" i="1" s="1"/>
  <c r="Q48" i="1" s="1"/>
  <c r="AE48" i="1"/>
  <c r="AF48" i="1"/>
  <c r="CT48" i="1" s="1"/>
  <c r="S48" i="1" s="1"/>
  <c r="AG48" i="1"/>
  <c r="AH48" i="1"/>
  <c r="CV48" i="1" s="1"/>
  <c r="U48" i="1" s="1"/>
  <c r="AI48" i="1"/>
  <c r="AJ48" i="1"/>
  <c r="CX48" i="1" s="1"/>
  <c r="W48" i="1" s="1"/>
  <c r="CQ48" i="1"/>
  <c r="P48" i="1" s="1"/>
  <c r="CP48" i="1" s="1"/>
  <c r="O48" i="1" s="1"/>
  <c r="CS48" i="1"/>
  <c r="R48" i="1" s="1"/>
  <c r="GK48" i="1" s="1"/>
  <c r="CU48" i="1"/>
  <c r="T48" i="1" s="1"/>
  <c r="CW48" i="1"/>
  <c r="V48" i="1" s="1"/>
  <c r="FR48" i="1"/>
  <c r="GL48" i="1"/>
  <c r="GO48" i="1"/>
  <c r="GP48" i="1"/>
  <c r="GV48" i="1"/>
  <c r="GX48" i="1"/>
  <c r="AC49" i="1"/>
  <c r="AE49" i="1"/>
  <c r="CS49" i="1" s="1"/>
  <c r="AF49" i="1"/>
  <c r="AG49" i="1"/>
  <c r="CU49" i="1" s="1"/>
  <c r="AH49" i="1"/>
  <c r="AI49" i="1"/>
  <c r="CW49" i="1" s="1"/>
  <c r="AJ49" i="1"/>
  <c r="CT49" i="1"/>
  <c r="CV49" i="1"/>
  <c r="CX49" i="1"/>
  <c r="FR49" i="1"/>
  <c r="GL49" i="1"/>
  <c r="GO49" i="1"/>
  <c r="GP49" i="1"/>
  <c r="GV49" i="1"/>
  <c r="C50" i="1"/>
  <c r="D50" i="1"/>
  <c r="I50" i="1"/>
  <c r="AC50" i="1"/>
  <c r="AD50" i="1"/>
  <c r="CR50" i="1" s="1"/>
  <c r="Q50" i="1" s="1"/>
  <c r="AE50" i="1"/>
  <c r="AF50" i="1"/>
  <c r="CT50" i="1" s="1"/>
  <c r="S50" i="1" s="1"/>
  <c r="AG50" i="1"/>
  <c r="AH50" i="1"/>
  <c r="CV50" i="1" s="1"/>
  <c r="U50" i="1" s="1"/>
  <c r="AI50" i="1"/>
  <c r="AJ50" i="1"/>
  <c r="CX50" i="1" s="1"/>
  <c r="W50" i="1" s="1"/>
  <c r="CQ50" i="1"/>
  <c r="P50" i="1" s="1"/>
  <c r="CP50" i="1" s="1"/>
  <c r="O50" i="1" s="1"/>
  <c r="CS50" i="1"/>
  <c r="R50" i="1" s="1"/>
  <c r="GK50" i="1" s="1"/>
  <c r="CU50" i="1"/>
  <c r="T50" i="1" s="1"/>
  <c r="CW50" i="1"/>
  <c r="V50" i="1" s="1"/>
  <c r="FR50" i="1"/>
  <c r="GL50" i="1"/>
  <c r="GN50" i="1"/>
  <c r="GP50" i="1"/>
  <c r="GV50" i="1"/>
  <c r="GX50" i="1"/>
  <c r="B52" i="1"/>
  <c r="B26" i="1" s="1"/>
  <c r="C52" i="1"/>
  <c r="C26" i="1" s="1"/>
  <c r="D52" i="1"/>
  <c r="D26" i="1" s="1"/>
  <c r="F52" i="1"/>
  <c r="F26" i="1" s="1"/>
  <c r="G52" i="1"/>
  <c r="G26" i="1" s="1"/>
  <c r="BX52" i="1"/>
  <c r="BX26" i="1" s="1"/>
  <c r="BY52" i="1"/>
  <c r="BY26" i="1" s="1"/>
  <c r="BZ52" i="1"/>
  <c r="BZ26" i="1" s="1"/>
  <c r="CD52" i="1"/>
  <c r="CD26" i="1" s="1"/>
  <c r="CG52" i="1"/>
  <c r="CG26" i="1" s="1"/>
  <c r="CK52" i="1"/>
  <c r="CK26" i="1" s="1"/>
  <c r="CL52" i="1"/>
  <c r="CL26" i="1" s="1"/>
  <c r="D81" i="1"/>
  <c r="E83" i="1"/>
  <c r="Z83" i="1"/>
  <c r="AA83" i="1"/>
  <c r="AM83" i="1"/>
  <c r="AN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W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DL83" i="1"/>
  <c r="DM83" i="1"/>
  <c r="DN83" i="1"/>
  <c r="DO83" i="1"/>
  <c r="DP83" i="1"/>
  <c r="DQ83" i="1"/>
  <c r="DR83" i="1"/>
  <c r="DS83" i="1"/>
  <c r="DT83" i="1"/>
  <c r="DU83" i="1"/>
  <c r="DV83" i="1"/>
  <c r="DW83" i="1"/>
  <c r="DX83" i="1"/>
  <c r="DY83" i="1"/>
  <c r="DZ83" i="1"/>
  <c r="EA83" i="1"/>
  <c r="EB83" i="1"/>
  <c r="EC83" i="1"/>
  <c r="ED83" i="1"/>
  <c r="EE83" i="1"/>
  <c r="EF83" i="1"/>
  <c r="EG83" i="1"/>
  <c r="EH83" i="1"/>
  <c r="EI83" i="1"/>
  <c r="EJ83" i="1"/>
  <c r="EK83" i="1"/>
  <c r="EL83" i="1"/>
  <c r="EM83" i="1"/>
  <c r="EN83" i="1"/>
  <c r="EO83" i="1"/>
  <c r="EP83" i="1"/>
  <c r="EQ83" i="1"/>
  <c r="ER83" i="1"/>
  <c r="ES83" i="1"/>
  <c r="ET83" i="1"/>
  <c r="EU83" i="1"/>
  <c r="EV83" i="1"/>
  <c r="EW83" i="1"/>
  <c r="EX83" i="1"/>
  <c r="EY83" i="1"/>
  <c r="EZ83" i="1"/>
  <c r="FA83" i="1"/>
  <c r="FB83" i="1"/>
  <c r="FC83" i="1"/>
  <c r="FD83" i="1"/>
  <c r="FE83" i="1"/>
  <c r="FF83" i="1"/>
  <c r="FG83" i="1"/>
  <c r="FH83" i="1"/>
  <c r="FI83" i="1"/>
  <c r="FJ83" i="1"/>
  <c r="FK83" i="1"/>
  <c r="FL83" i="1"/>
  <c r="FM83" i="1"/>
  <c r="FN83" i="1"/>
  <c r="FO83" i="1"/>
  <c r="FP83" i="1"/>
  <c r="FQ83" i="1"/>
  <c r="FR83" i="1"/>
  <c r="FS83" i="1"/>
  <c r="FT83" i="1"/>
  <c r="FU83" i="1"/>
  <c r="FV83" i="1"/>
  <c r="FW83" i="1"/>
  <c r="FX83" i="1"/>
  <c r="FY83" i="1"/>
  <c r="FZ83" i="1"/>
  <c r="GA83" i="1"/>
  <c r="GB83" i="1"/>
  <c r="GC83" i="1"/>
  <c r="GD83" i="1"/>
  <c r="GE83" i="1"/>
  <c r="GF83" i="1"/>
  <c r="GG83" i="1"/>
  <c r="GH83" i="1"/>
  <c r="GI83" i="1"/>
  <c r="GJ83" i="1"/>
  <c r="GK83" i="1"/>
  <c r="GL83" i="1"/>
  <c r="GM83" i="1"/>
  <c r="GN83" i="1"/>
  <c r="GO83" i="1"/>
  <c r="GP83" i="1"/>
  <c r="GQ83" i="1"/>
  <c r="GR83" i="1"/>
  <c r="GS83" i="1"/>
  <c r="GT83" i="1"/>
  <c r="GU83" i="1"/>
  <c r="GV83" i="1"/>
  <c r="GW83" i="1"/>
  <c r="GX83" i="1"/>
  <c r="C85" i="1"/>
  <c r="D85" i="1"/>
  <c r="I85" i="1"/>
  <c r="T85" i="1"/>
  <c r="AC85" i="1"/>
  <c r="AE85" i="1"/>
  <c r="AD85" i="1" s="1"/>
  <c r="AF85" i="1"/>
  <c r="CT85" i="1" s="1"/>
  <c r="AG85" i="1"/>
  <c r="AH85" i="1"/>
  <c r="AI85" i="1"/>
  <c r="CW85" i="1" s="1"/>
  <c r="V85" i="1" s="1"/>
  <c r="AJ85" i="1"/>
  <c r="CX85" i="1" s="1"/>
  <c r="CQ85" i="1"/>
  <c r="P85" i="1" s="1"/>
  <c r="CS85" i="1"/>
  <c r="R85" i="1" s="1"/>
  <c r="CU85" i="1"/>
  <c r="CV85" i="1"/>
  <c r="U85" i="1" s="1"/>
  <c r="FR85" i="1"/>
  <c r="GL85" i="1"/>
  <c r="GN85" i="1"/>
  <c r="GP85" i="1"/>
  <c r="GV85" i="1"/>
  <c r="GX85" i="1" s="1"/>
  <c r="AC86" i="1"/>
  <c r="AD86" i="1"/>
  <c r="AB86" i="1" s="1"/>
  <c r="AE86" i="1"/>
  <c r="AF86" i="1"/>
  <c r="CT86" i="1" s="1"/>
  <c r="AG86" i="1"/>
  <c r="AH86" i="1"/>
  <c r="CV86" i="1" s="1"/>
  <c r="AI86" i="1"/>
  <c r="AJ86" i="1"/>
  <c r="CX86" i="1" s="1"/>
  <c r="CQ86" i="1"/>
  <c r="CS86" i="1"/>
  <c r="CU86" i="1"/>
  <c r="CW86" i="1"/>
  <c r="FR86" i="1"/>
  <c r="GL86" i="1"/>
  <c r="GN86" i="1"/>
  <c r="GP86" i="1"/>
  <c r="GV86" i="1"/>
  <c r="C87" i="1"/>
  <c r="D87" i="1"/>
  <c r="AC87" i="1"/>
  <c r="AD87" i="1"/>
  <c r="CR87" i="1" s="1"/>
  <c r="Q87" i="1" s="1"/>
  <c r="AE87" i="1"/>
  <c r="AF87" i="1"/>
  <c r="AB87" i="1" s="1"/>
  <c r="AG87" i="1"/>
  <c r="AH87" i="1"/>
  <c r="CV87" i="1" s="1"/>
  <c r="U87" i="1" s="1"/>
  <c r="AI87" i="1"/>
  <c r="AJ87" i="1"/>
  <c r="CX87" i="1" s="1"/>
  <c r="W87" i="1" s="1"/>
  <c r="CQ87" i="1"/>
  <c r="P87" i="1" s="1"/>
  <c r="CS87" i="1"/>
  <c r="R87" i="1" s="1"/>
  <c r="GK87" i="1" s="1"/>
  <c r="CU87" i="1"/>
  <c r="T87" i="1" s="1"/>
  <c r="CW87" i="1"/>
  <c r="V87" i="1" s="1"/>
  <c r="FR87" i="1"/>
  <c r="GL87" i="1"/>
  <c r="GN87" i="1"/>
  <c r="GP87" i="1"/>
  <c r="GV87" i="1"/>
  <c r="GX87" i="1"/>
  <c r="I88" i="1"/>
  <c r="AC88" i="1"/>
  <c r="CQ88" i="1" s="1"/>
  <c r="P88" i="1" s="1"/>
  <c r="CP88" i="1" s="1"/>
  <c r="O88" i="1" s="1"/>
  <c r="AE88" i="1"/>
  <c r="AD88" i="1" s="1"/>
  <c r="CR88" i="1" s="1"/>
  <c r="Q88" i="1" s="1"/>
  <c r="AF88" i="1"/>
  <c r="AG88" i="1"/>
  <c r="CU88" i="1" s="1"/>
  <c r="T88" i="1" s="1"/>
  <c r="AH88" i="1"/>
  <c r="AI88" i="1"/>
  <c r="CW88" i="1" s="1"/>
  <c r="V88" i="1" s="1"/>
  <c r="AJ88" i="1"/>
  <c r="CT88" i="1"/>
  <c r="S88" i="1" s="1"/>
  <c r="CV88" i="1"/>
  <c r="U88" i="1" s="1"/>
  <c r="CX88" i="1"/>
  <c r="W88" i="1" s="1"/>
  <c r="FR88" i="1"/>
  <c r="GL88" i="1"/>
  <c r="GN88" i="1"/>
  <c r="GP88" i="1"/>
  <c r="GV88" i="1"/>
  <c r="GX88" i="1" s="1"/>
  <c r="C89" i="1"/>
  <c r="D89" i="1"/>
  <c r="I89" i="1"/>
  <c r="I90" i="1" s="1"/>
  <c r="AC89" i="1"/>
  <c r="AD89" i="1"/>
  <c r="CR89" i="1" s="1"/>
  <c r="Q89" i="1" s="1"/>
  <c r="AE89" i="1"/>
  <c r="AF89" i="1"/>
  <c r="AB89" i="1" s="1"/>
  <c r="AG89" i="1"/>
  <c r="AH89" i="1"/>
  <c r="CV89" i="1" s="1"/>
  <c r="U89" i="1" s="1"/>
  <c r="AI89" i="1"/>
  <c r="AJ89" i="1"/>
  <c r="CX89" i="1" s="1"/>
  <c r="W89" i="1" s="1"/>
  <c r="CQ89" i="1"/>
  <c r="P89" i="1" s="1"/>
  <c r="CS89" i="1"/>
  <c r="R89" i="1" s="1"/>
  <c r="GK89" i="1" s="1"/>
  <c r="CU89" i="1"/>
  <c r="T89" i="1" s="1"/>
  <c r="CW89" i="1"/>
  <c r="V89" i="1" s="1"/>
  <c r="FR89" i="1"/>
  <c r="GL89" i="1"/>
  <c r="GN89" i="1"/>
  <c r="GP89" i="1"/>
  <c r="GV89" i="1"/>
  <c r="GX89" i="1"/>
  <c r="AC90" i="1"/>
  <c r="CQ90" i="1" s="1"/>
  <c r="AE90" i="1"/>
  <c r="AF90" i="1"/>
  <c r="AG90" i="1"/>
  <c r="CU90" i="1" s="1"/>
  <c r="T90" i="1" s="1"/>
  <c r="AH90" i="1"/>
  <c r="AI90" i="1"/>
  <c r="CW90" i="1" s="1"/>
  <c r="V90" i="1" s="1"/>
  <c r="AJ90" i="1"/>
  <c r="CT90" i="1"/>
  <c r="CV90" i="1"/>
  <c r="U90" i="1" s="1"/>
  <c r="CX90" i="1"/>
  <c r="W90" i="1" s="1"/>
  <c r="FR90" i="1"/>
  <c r="GL90" i="1"/>
  <c r="GN90" i="1"/>
  <c r="GP90" i="1"/>
  <c r="GV90" i="1"/>
  <c r="GX90" i="1" s="1"/>
  <c r="B92" i="1"/>
  <c r="B83" i="1" s="1"/>
  <c r="C92" i="1"/>
  <c r="C83" i="1" s="1"/>
  <c r="D92" i="1"/>
  <c r="D83" i="1" s="1"/>
  <c r="F92" i="1"/>
  <c r="F83" i="1" s="1"/>
  <c r="G92" i="1"/>
  <c r="G83" i="1" s="1"/>
  <c r="BB92" i="1"/>
  <c r="BB83" i="1" s="1"/>
  <c r="BX92" i="1"/>
  <c r="BZ92" i="1"/>
  <c r="CB92" i="1"/>
  <c r="CD92" i="1"/>
  <c r="CK92" i="1"/>
  <c r="CK83" i="1" s="1"/>
  <c r="CL92" i="1"/>
  <c r="F105" i="1"/>
  <c r="B121" i="1"/>
  <c r="B22" i="1" s="1"/>
  <c r="C121" i="1"/>
  <c r="C22" i="1" s="1"/>
  <c r="D121" i="1"/>
  <c r="D22" i="1" s="1"/>
  <c r="F121" i="1"/>
  <c r="F22" i="1" s="1"/>
  <c r="G121" i="1"/>
  <c r="G22" i="1" s="1"/>
  <c r="D151" i="1"/>
  <c r="E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BD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BQ153" i="1"/>
  <c r="BR153" i="1"/>
  <c r="BS153" i="1"/>
  <c r="BT153" i="1"/>
  <c r="BU153" i="1"/>
  <c r="BV153" i="1"/>
  <c r="BW153" i="1"/>
  <c r="BX153" i="1"/>
  <c r="BY153" i="1"/>
  <c r="BZ153" i="1"/>
  <c r="CA153" i="1"/>
  <c r="CB153" i="1"/>
  <c r="CC153" i="1"/>
  <c r="CD153" i="1"/>
  <c r="CE153" i="1"/>
  <c r="CF153" i="1"/>
  <c r="CG153" i="1"/>
  <c r="CH153" i="1"/>
  <c r="CI153" i="1"/>
  <c r="CJ153" i="1"/>
  <c r="CK153" i="1"/>
  <c r="CL153" i="1"/>
  <c r="CM153" i="1"/>
  <c r="CN153" i="1"/>
  <c r="CO153" i="1"/>
  <c r="CP153" i="1"/>
  <c r="CQ153" i="1"/>
  <c r="CR153" i="1"/>
  <c r="CS153" i="1"/>
  <c r="CT153" i="1"/>
  <c r="CU153" i="1"/>
  <c r="CV153" i="1"/>
  <c r="CW153" i="1"/>
  <c r="CX153" i="1"/>
  <c r="CY153" i="1"/>
  <c r="CZ153" i="1"/>
  <c r="DA153" i="1"/>
  <c r="DB153" i="1"/>
  <c r="DC153" i="1"/>
  <c r="DD153" i="1"/>
  <c r="DE153" i="1"/>
  <c r="DF153" i="1"/>
  <c r="DG153" i="1"/>
  <c r="DH153" i="1"/>
  <c r="DI153" i="1"/>
  <c r="DJ153" i="1"/>
  <c r="DK153" i="1"/>
  <c r="DL153" i="1"/>
  <c r="DM153" i="1"/>
  <c r="DN153" i="1"/>
  <c r="DO153" i="1"/>
  <c r="DP153" i="1"/>
  <c r="DQ153" i="1"/>
  <c r="DR153" i="1"/>
  <c r="DS153" i="1"/>
  <c r="DT153" i="1"/>
  <c r="DU153" i="1"/>
  <c r="DV153" i="1"/>
  <c r="DW153" i="1"/>
  <c r="DX153" i="1"/>
  <c r="DY153" i="1"/>
  <c r="DZ153" i="1"/>
  <c r="EA153" i="1"/>
  <c r="EB153" i="1"/>
  <c r="EC153" i="1"/>
  <c r="ED153" i="1"/>
  <c r="EE153" i="1"/>
  <c r="EF153" i="1"/>
  <c r="EG153" i="1"/>
  <c r="EH153" i="1"/>
  <c r="EI153" i="1"/>
  <c r="EJ153" i="1"/>
  <c r="EK153" i="1"/>
  <c r="EL153" i="1"/>
  <c r="EM153" i="1"/>
  <c r="EN153" i="1"/>
  <c r="EO153" i="1"/>
  <c r="EP153" i="1"/>
  <c r="EQ153" i="1"/>
  <c r="ER153" i="1"/>
  <c r="ES153" i="1"/>
  <c r="ET153" i="1"/>
  <c r="EU153" i="1"/>
  <c r="EV153" i="1"/>
  <c r="EW153" i="1"/>
  <c r="EX153" i="1"/>
  <c r="EY153" i="1"/>
  <c r="EZ153" i="1"/>
  <c r="FA153" i="1"/>
  <c r="FB153" i="1"/>
  <c r="FC153" i="1"/>
  <c r="FD153" i="1"/>
  <c r="FE153" i="1"/>
  <c r="FF153" i="1"/>
  <c r="FG153" i="1"/>
  <c r="FH153" i="1"/>
  <c r="FI153" i="1"/>
  <c r="FJ153" i="1"/>
  <c r="FK153" i="1"/>
  <c r="FL153" i="1"/>
  <c r="FM153" i="1"/>
  <c r="FN153" i="1"/>
  <c r="FO153" i="1"/>
  <c r="FP153" i="1"/>
  <c r="FQ153" i="1"/>
  <c r="FR153" i="1"/>
  <c r="FS153" i="1"/>
  <c r="FT153" i="1"/>
  <c r="FU153" i="1"/>
  <c r="FV153" i="1"/>
  <c r="FW153" i="1"/>
  <c r="FX153" i="1"/>
  <c r="FY153" i="1"/>
  <c r="FZ153" i="1"/>
  <c r="GA153" i="1"/>
  <c r="GB153" i="1"/>
  <c r="GC153" i="1"/>
  <c r="GD153" i="1"/>
  <c r="GE153" i="1"/>
  <c r="GF153" i="1"/>
  <c r="GG153" i="1"/>
  <c r="GH153" i="1"/>
  <c r="GI153" i="1"/>
  <c r="GJ153" i="1"/>
  <c r="GK153" i="1"/>
  <c r="GL153" i="1"/>
  <c r="GM153" i="1"/>
  <c r="GN153" i="1"/>
  <c r="GO153" i="1"/>
  <c r="GP153" i="1"/>
  <c r="GQ153" i="1"/>
  <c r="GR153" i="1"/>
  <c r="GS153" i="1"/>
  <c r="GT153" i="1"/>
  <c r="GU153" i="1"/>
  <c r="GV153" i="1"/>
  <c r="GW153" i="1"/>
  <c r="GX153" i="1"/>
  <c r="D155" i="1"/>
  <c r="E157" i="1"/>
  <c r="Z157" i="1"/>
  <c r="AA157" i="1"/>
  <c r="AM157" i="1"/>
  <c r="AN157" i="1"/>
  <c r="BD157" i="1"/>
  <c r="BE157" i="1"/>
  <c r="BF157" i="1"/>
  <c r="BG157" i="1"/>
  <c r="BH157" i="1"/>
  <c r="BI157" i="1"/>
  <c r="BJ157" i="1"/>
  <c r="BK157" i="1"/>
  <c r="BL157" i="1"/>
  <c r="BM157" i="1"/>
  <c r="BN157" i="1"/>
  <c r="BO157" i="1"/>
  <c r="BP157" i="1"/>
  <c r="BQ157" i="1"/>
  <c r="BR157" i="1"/>
  <c r="BS157" i="1"/>
  <c r="BT157" i="1"/>
  <c r="BU157" i="1"/>
  <c r="BV157" i="1"/>
  <c r="BW157" i="1"/>
  <c r="CM157" i="1"/>
  <c r="CN157" i="1"/>
  <c r="CO157" i="1"/>
  <c r="CP157" i="1"/>
  <c r="CQ157" i="1"/>
  <c r="CR157" i="1"/>
  <c r="CS157" i="1"/>
  <c r="CT157" i="1"/>
  <c r="CU157" i="1"/>
  <c r="CV157" i="1"/>
  <c r="CW157" i="1"/>
  <c r="CX157" i="1"/>
  <c r="CY157" i="1"/>
  <c r="CZ157" i="1"/>
  <c r="DA157" i="1"/>
  <c r="DB157" i="1"/>
  <c r="DC157" i="1"/>
  <c r="DD157" i="1"/>
  <c r="DE157" i="1"/>
  <c r="DF157" i="1"/>
  <c r="DG157" i="1"/>
  <c r="DH157" i="1"/>
  <c r="DI157" i="1"/>
  <c r="DJ157" i="1"/>
  <c r="DK157" i="1"/>
  <c r="DL157" i="1"/>
  <c r="DM157" i="1"/>
  <c r="DN157" i="1"/>
  <c r="DO157" i="1"/>
  <c r="DP157" i="1"/>
  <c r="DQ157" i="1"/>
  <c r="DR157" i="1"/>
  <c r="DS157" i="1"/>
  <c r="DT157" i="1"/>
  <c r="DU157" i="1"/>
  <c r="DV157" i="1"/>
  <c r="DW157" i="1"/>
  <c r="DX157" i="1"/>
  <c r="DY157" i="1"/>
  <c r="DZ157" i="1"/>
  <c r="EA157" i="1"/>
  <c r="EB157" i="1"/>
  <c r="EC157" i="1"/>
  <c r="ED157" i="1"/>
  <c r="EE157" i="1"/>
  <c r="EF157" i="1"/>
  <c r="EG157" i="1"/>
  <c r="EH157" i="1"/>
  <c r="EI157" i="1"/>
  <c r="EJ157" i="1"/>
  <c r="EK157" i="1"/>
  <c r="EL157" i="1"/>
  <c r="EM157" i="1"/>
  <c r="EN157" i="1"/>
  <c r="EO157" i="1"/>
  <c r="EP157" i="1"/>
  <c r="EQ157" i="1"/>
  <c r="ER157" i="1"/>
  <c r="ES157" i="1"/>
  <c r="ET157" i="1"/>
  <c r="EU157" i="1"/>
  <c r="EV157" i="1"/>
  <c r="EW157" i="1"/>
  <c r="EX157" i="1"/>
  <c r="EY157" i="1"/>
  <c r="EZ157" i="1"/>
  <c r="FA157" i="1"/>
  <c r="FB157" i="1"/>
  <c r="FC157" i="1"/>
  <c r="FD157" i="1"/>
  <c r="FE157" i="1"/>
  <c r="FF157" i="1"/>
  <c r="FG157" i="1"/>
  <c r="FH157" i="1"/>
  <c r="FI157" i="1"/>
  <c r="FJ157" i="1"/>
  <c r="FK157" i="1"/>
  <c r="FL157" i="1"/>
  <c r="FM157" i="1"/>
  <c r="FN157" i="1"/>
  <c r="FO157" i="1"/>
  <c r="FP157" i="1"/>
  <c r="FQ157" i="1"/>
  <c r="FR157" i="1"/>
  <c r="FS157" i="1"/>
  <c r="FT157" i="1"/>
  <c r="FU157" i="1"/>
  <c r="FV157" i="1"/>
  <c r="FW157" i="1"/>
  <c r="FX157" i="1"/>
  <c r="FY157" i="1"/>
  <c r="FZ157" i="1"/>
  <c r="GA157" i="1"/>
  <c r="GB157" i="1"/>
  <c r="GC157" i="1"/>
  <c r="GD157" i="1"/>
  <c r="GE157" i="1"/>
  <c r="GF157" i="1"/>
  <c r="GG157" i="1"/>
  <c r="GH157" i="1"/>
  <c r="GI157" i="1"/>
  <c r="GJ157" i="1"/>
  <c r="GK157" i="1"/>
  <c r="GL157" i="1"/>
  <c r="GM157" i="1"/>
  <c r="GN157" i="1"/>
  <c r="GO157" i="1"/>
  <c r="GP157" i="1"/>
  <c r="GQ157" i="1"/>
  <c r="GR157" i="1"/>
  <c r="GS157" i="1"/>
  <c r="GT157" i="1"/>
  <c r="GU157" i="1"/>
  <c r="GV157" i="1"/>
  <c r="GW157" i="1"/>
  <c r="GX157" i="1"/>
  <c r="C159" i="1"/>
  <c r="D159" i="1"/>
  <c r="AC159" i="1"/>
  <c r="AE159" i="1"/>
  <c r="CS159" i="1" s="1"/>
  <c r="R159" i="1" s="1"/>
  <c r="AF159" i="1"/>
  <c r="AG159" i="1"/>
  <c r="CU159" i="1" s="1"/>
  <c r="T159" i="1" s="1"/>
  <c r="AH159" i="1"/>
  <c r="AI159" i="1"/>
  <c r="CW159" i="1" s="1"/>
  <c r="V159" i="1" s="1"/>
  <c r="AJ159" i="1"/>
  <c r="CT159" i="1"/>
  <c r="S159" i="1" s="1"/>
  <c r="CV159" i="1"/>
  <c r="U159" i="1" s="1"/>
  <c r="CX159" i="1"/>
  <c r="W159" i="1" s="1"/>
  <c r="FR159" i="1"/>
  <c r="GL159" i="1"/>
  <c r="GN159" i="1"/>
  <c r="GO159" i="1"/>
  <c r="GV159" i="1"/>
  <c r="GX159" i="1" s="1"/>
  <c r="C160" i="1"/>
  <c r="D160" i="1"/>
  <c r="AC160" i="1"/>
  <c r="CQ160" i="1" s="1"/>
  <c r="P160" i="1" s="1"/>
  <c r="CP160" i="1" s="1"/>
  <c r="O160" i="1" s="1"/>
  <c r="AE160" i="1"/>
  <c r="AD160" i="1" s="1"/>
  <c r="CR160" i="1" s="1"/>
  <c r="Q160" i="1" s="1"/>
  <c r="AF160" i="1"/>
  <c r="AG160" i="1"/>
  <c r="CU160" i="1" s="1"/>
  <c r="T160" i="1" s="1"/>
  <c r="AH160" i="1"/>
  <c r="AI160" i="1"/>
  <c r="CW160" i="1" s="1"/>
  <c r="V160" i="1" s="1"/>
  <c r="AJ160" i="1"/>
  <c r="CT160" i="1"/>
  <c r="S160" i="1" s="1"/>
  <c r="CV160" i="1"/>
  <c r="U160" i="1" s="1"/>
  <c r="CX160" i="1"/>
  <c r="W160" i="1" s="1"/>
  <c r="FR160" i="1"/>
  <c r="GL160" i="1"/>
  <c r="GN160" i="1"/>
  <c r="GO160" i="1"/>
  <c r="GV160" i="1"/>
  <c r="GX160" i="1" s="1"/>
  <c r="C161" i="1"/>
  <c r="D161" i="1"/>
  <c r="AC161" i="1"/>
  <c r="AE161" i="1"/>
  <c r="CS161" i="1" s="1"/>
  <c r="R161" i="1" s="1"/>
  <c r="GK161" i="1" s="1"/>
  <c r="AF161" i="1"/>
  <c r="AG161" i="1"/>
  <c r="CU161" i="1" s="1"/>
  <c r="T161" i="1" s="1"/>
  <c r="AH161" i="1"/>
  <c r="AI161" i="1"/>
  <c r="CW161" i="1" s="1"/>
  <c r="V161" i="1" s="1"/>
  <c r="AJ161" i="1"/>
  <c r="CT161" i="1"/>
  <c r="S161" i="1" s="1"/>
  <c r="CV161" i="1"/>
  <c r="U161" i="1" s="1"/>
  <c r="CX161" i="1"/>
  <c r="W161" i="1" s="1"/>
  <c r="FR161" i="1"/>
  <c r="GL161" i="1"/>
  <c r="GN161" i="1"/>
  <c r="GO161" i="1"/>
  <c r="GV161" i="1"/>
  <c r="GX161" i="1" s="1"/>
  <c r="C162" i="1"/>
  <c r="D162" i="1"/>
  <c r="AC162" i="1"/>
  <c r="CQ162" i="1" s="1"/>
  <c r="P162" i="1" s="1"/>
  <c r="CP162" i="1" s="1"/>
  <c r="O162" i="1" s="1"/>
  <c r="AE162" i="1"/>
  <c r="AD162" i="1" s="1"/>
  <c r="CR162" i="1" s="1"/>
  <c r="Q162" i="1" s="1"/>
  <c r="AF162" i="1"/>
  <c r="AG162" i="1"/>
  <c r="CU162" i="1" s="1"/>
  <c r="T162" i="1" s="1"/>
  <c r="AH162" i="1"/>
  <c r="AI162" i="1"/>
  <c r="CW162" i="1" s="1"/>
  <c r="V162" i="1" s="1"/>
  <c r="AJ162" i="1"/>
  <c r="CT162" i="1"/>
  <c r="S162" i="1" s="1"/>
  <c r="CV162" i="1"/>
  <c r="U162" i="1" s="1"/>
  <c r="CX162" i="1"/>
  <c r="W162" i="1" s="1"/>
  <c r="FR162" i="1"/>
  <c r="GL162" i="1"/>
  <c r="GN162" i="1"/>
  <c r="GO162" i="1"/>
  <c r="CC164" i="1" s="1"/>
  <c r="GV162" i="1"/>
  <c r="GX162" i="1" s="1"/>
  <c r="B164" i="1"/>
  <c r="B157" i="1" s="1"/>
  <c r="C164" i="1"/>
  <c r="C157" i="1" s="1"/>
  <c r="D164" i="1"/>
  <c r="D157" i="1" s="1"/>
  <c r="F164" i="1"/>
  <c r="F157" i="1" s="1"/>
  <c r="G164" i="1"/>
  <c r="G157" i="1" s="1"/>
  <c r="AP164" i="1"/>
  <c r="AP157" i="1" s="1"/>
  <c r="BB164" i="1"/>
  <c r="BB157" i="1" s="1"/>
  <c r="BX164" i="1"/>
  <c r="BX157" i="1" s="1"/>
  <c r="BY164" i="1"/>
  <c r="CI164" i="1" s="1"/>
  <c r="BZ164" i="1"/>
  <c r="AQ164" i="1" s="1"/>
  <c r="CB164" i="1"/>
  <c r="CB157" i="1" s="1"/>
  <c r="CK164" i="1"/>
  <c r="CK157" i="1" s="1"/>
  <c r="CL164" i="1"/>
  <c r="BC164" i="1" s="1"/>
  <c r="F173" i="1"/>
  <c r="F177" i="1"/>
  <c r="D193" i="1"/>
  <c r="E195" i="1"/>
  <c r="Z195" i="1"/>
  <c r="AA195" i="1"/>
  <c r="AM195" i="1"/>
  <c r="AN195" i="1"/>
  <c r="BD195" i="1"/>
  <c r="BE195" i="1"/>
  <c r="BF195" i="1"/>
  <c r="BG195" i="1"/>
  <c r="BH195" i="1"/>
  <c r="BI195" i="1"/>
  <c r="BJ195" i="1"/>
  <c r="BK195" i="1"/>
  <c r="BL195" i="1"/>
  <c r="BM195" i="1"/>
  <c r="BN195" i="1"/>
  <c r="BO195" i="1"/>
  <c r="BP195" i="1"/>
  <c r="BQ195" i="1"/>
  <c r="BR195" i="1"/>
  <c r="BS195" i="1"/>
  <c r="BT195" i="1"/>
  <c r="BU195" i="1"/>
  <c r="BV195" i="1"/>
  <c r="BW195" i="1"/>
  <c r="CM195" i="1"/>
  <c r="CN195" i="1"/>
  <c r="CO195" i="1"/>
  <c r="CP195" i="1"/>
  <c r="CQ195" i="1"/>
  <c r="CR195" i="1"/>
  <c r="CS195" i="1"/>
  <c r="CT195" i="1"/>
  <c r="CU195" i="1"/>
  <c r="CV195" i="1"/>
  <c r="CW195" i="1"/>
  <c r="CX195" i="1"/>
  <c r="CY195" i="1"/>
  <c r="CZ195" i="1"/>
  <c r="DA195" i="1"/>
  <c r="DB195" i="1"/>
  <c r="DC195" i="1"/>
  <c r="DD195" i="1"/>
  <c r="DE195" i="1"/>
  <c r="DF195" i="1"/>
  <c r="DG195" i="1"/>
  <c r="DH195" i="1"/>
  <c r="DI195" i="1"/>
  <c r="DJ195" i="1"/>
  <c r="DK195" i="1"/>
  <c r="DL195" i="1"/>
  <c r="DM195" i="1"/>
  <c r="DN195" i="1"/>
  <c r="DO195" i="1"/>
  <c r="DP195" i="1"/>
  <c r="DQ195" i="1"/>
  <c r="DR195" i="1"/>
  <c r="DS195" i="1"/>
  <c r="DT195" i="1"/>
  <c r="DU195" i="1"/>
  <c r="DV195" i="1"/>
  <c r="DW195" i="1"/>
  <c r="DX195" i="1"/>
  <c r="DY195" i="1"/>
  <c r="DZ195" i="1"/>
  <c r="EA195" i="1"/>
  <c r="EB195" i="1"/>
  <c r="EC195" i="1"/>
  <c r="ED195" i="1"/>
  <c r="EE195" i="1"/>
  <c r="EF195" i="1"/>
  <c r="EG195" i="1"/>
  <c r="EH195" i="1"/>
  <c r="EI195" i="1"/>
  <c r="EJ195" i="1"/>
  <c r="EK195" i="1"/>
  <c r="EL195" i="1"/>
  <c r="EM195" i="1"/>
  <c r="EN195" i="1"/>
  <c r="EO195" i="1"/>
  <c r="EP195" i="1"/>
  <c r="EQ195" i="1"/>
  <c r="ER195" i="1"/>
  <c r="ES195" i="1"/>
  <c r="ET195" i="1"/>
  <c r="EU195" i="1"/>
  <c r="EV195" i="1"/>
  <c r="EW195" i="1"/>
  <c r="EX195" i="1"/>
  <c r="EY195" i="1"/>
  <c r="EZ195" i="1"/>
  <c r="FA195" i="1"/>
  <c r="FB195" i="1"/>
  <c r="FC195" i="1"/>
  <c r="FD195" i="1"/>
  <c r="FE195" i="1"/>
  <c r="FF195" i="1"/>
  <c r="FG195" i="1"/>
  <c r="FH195" i="1"/>
  <c r="FI195" i="1"/>
  <c r="FJ195" i="1"/>
  <c r="FK195" i="1"/>
  <c r="FL195" i="1"/>
  <c r="FM195" i="1"/>
  <c r="FN195" i="1"/>
  <c r="FO195" i="1"/>
  <c r="FP195" i="1"/>
  <c r="FQ195" i="1"/>
  <c r="FR195" i="1"/>
  <c r="FS195" i="1"/>
  <c r="FT195" i="1"/>
  <c r="FU195" i="1"/>
  <c r="FV195" i="1"/>
  <c r="FW195" i="1"/>
  <c r="FX195" i="1"/>
  <c r="FY195" i="1"/>
  <c r="FZ195" i="1"/>
  <c r="GA195" i="1"/>
  <c r="GB195" i="1"/>
  <c r="GC195" i="1"/>
  <c r="GD195" i="1"/>
  <c r="GE195" i="1"/>
  <c r="GF195" i="1"/>
  <c r="GG195" i="1"/>
  <c r="GH195" i="1"/>
  <c r="GI195" i="1"/>
  <c r="GJ195" i="1"/>
  <c r="GK195" i="1"/>
  <c r="GL195" i="1"/>
  <c r="GM195" i="1"/>
  <c r="GN195" i="1"/>
  <c r="GO195" i="1"/>
  <c r="GP195" i="1"/>
  <c r="GQ195" i="1"/>
  <c r="GR195" i="1"/>
  <c r="GS195" i="1"/>
  <c r="GT195" i="1"/>
  <c r="GU195" i="1"/>
  <c r="GV195" i="1"/>
  <c r="GW195" i="1"/>
  <c r="GX195" i="1"/>
  <c r="C197" i="1"/>
  <c r="D197" i="1"/>
  <c r="AC197" i="1"/>
  <c r="CQ197" i="1" s="1"/>
  <c r="P197" i="1" s="1"/>
  <c r="AE197" i="1"/>
  <c r="AD197" i="1" s="1"/>
  <c r="CR197" i="1" s="1"/>
  <c r="Q197" i="1" s="1"/>
  <c r="AF197" i="1"/>
  <c r="AG197" i="1"/>
  <c r="CU197" i="1" s="1"/>
  <c r="T197" i="1" s="1"/>
  <c r="AH197" i="1"/>
  <c r="AI197" i="1"/>
  <c r="CW197" i="1" s="1"/>
  <c r="V197" i="1" s="1"/>
  <c r="AJ197" i="1"/>
  <c r="CT197" i="1"/>
  <c r="S197" i="1" s="1"/>
  <c r="CV197" i="1"/>
  <c r="U197" i="1" s="1"/>
  <c r="AH200" i="1" s="1"/>
  <c r="CX197" i="1"/>
  <c r="W197" i="1" s="1"/>
  <c r="FR197" i="1"/>
  <c r="GL197" i="1"/>
  <c r="GN197" i="1"/>
  <c r="GO197" i="1"/>
  <c r="GV197" i="1"/>
  <c r="GX197" i="1" s="1"/>
  <c r="CJ200" i="1" s="1"/>
  <c r="C198" i="1"/>
  <c r="D198" i="1"/>
  <c r="AC198" i="1"/>
  <c r="AE198" i="1"/>
  <c r="CS198" i="1" s="1"/>
  <c r="R198" i="1" s="1"/>
  <c r="GK198" i="1" s="1"/>
  <c r="AF198" i="1"/>
  <c r="AG198" i="1"/>
  <c r="CU198" i="1" s="1"/>
  <c r="T198" i="1" s="1"/>
  <c r="AH198" i="1"/>
  <c r="AI198" i="1"/>
  <c r="CW198" i="1" s="1"/>
  <c r="V198" i="1" s="1"/>
  <c r="AJ198" i="1"/>
  <c r="CT198" i="1"/>
  <c r="S198" i="1" s="1"/>
  <c r="CV198" i="1"/>
  <c r="U198" i="1" s="1"/>
  <c r="CX198" i="1"/>
  <c r="W198" i="1" s="1"/>
  <c r="FR198" i="1"/>
  <c r="GL198" i="1"/>
  <c r="GN198" i="1"/>
  <c r="GO198" i="1"/>
  <c r="CC200" i="1" s="1"/>
  <c r="GV198" i="1"/>
  <c r="GX198" i="1" s="1"/>
  <c r="B200" i="1"/>
  <c r="B195" i="1" s="1"/>
  <c r="C200" i="1"/>
  <c r="C195" i="1" s="1"/>
  <c r="D200" i="1"/>
  <c r="D195" i="1" s="1"/>
  <c r="F200" i="1"/>
  <c r="F195" i="1" s="1"/>
  <c r="G200" i="1"/>
  <c r="G195" i="1" s="1"/>
  <c r="AP200" i="1"/>
  <c r="AP195" i="1" s="1"/>
  <c r="BB200" i="1"/>
  <c r="BB195" i="1" s="1"/>
  <c r="BX200" i="1"/>
  <c r="AO200" i="1" s="1"/>
  <c r="BY200" i="1"/>
  <c r="BY195" i="1" s="1"/>
  <c r="BZ200" i="1"/>
  <c r="BZ195" i="1" s="1"/>
  <c r="CB200" i="1"/>
  <c r="AS200" i="1" s="1"/>
  <c r="AS195" i="1" s="1"/>
  <c r="CK200" i="1"/>
  <c r="CK195" i="1" s="1"/>
  <c r="CL200" i="1"/>
  <c r="F209" i="1"/>
  <c r="F213" i="1"/>
  <c r="F217" i="1"/>
  <c r="B229" i="1"/>
  <c r="B153" i="1" s="1"/>
  <c r="C229" i="1"/>
  <c r="C153" i="1" s="1"/>
  <c r="D229" i="1"/>
  <c r="D153" i="1" s="1"/>
  <c r="F229" i="1"/>
  <c r="F153" i="1" s="1"/>
  <c r="G153" i="1"/>
  <c r="AP229" i="1"/>
  <c r="BB229" i="1"/>
  <c r="B258" i="1"/>
  <c r="B18" i="1" s="1"/>
  <c r="C258" i="1"/>
  <c r="C18" i="1" s="1"/>
  <c r="D258" i="1"/>
  <c r="D18" i="1" s="1"/>
  <c r="F258" i="1"/>
  <c r="F18" i="1" s="1"/>
  <c r="G258" i="1"/>
  <c r="G18" i="1" s="1"/>
  <c r="I130" i="5" l="1"/>
  <c r="P130" i="5" s="1"/>
  <c r="G48" i="5"/>
  <c r="O48" i="5" s="1"/>
  <c r="G130" i="5"/>
  <c r="O130" i="5" s="1"/>
  <c r="G58" i="5"/>
  <c r="O58" i="5" s="1"/>
  <c r="G250" i="5"/>
  <c r="G68" i="5"/>
  <c r="O68" i="5" s="1"/>
  <c r="I41" i="5"/>
  <c r="P41" i="5" s="1"/>
  <c r="G268" i="5"/>
  <c r="I78" i="5"/>
  <c r="P78" i="5" s="1"/>
  <c r="I58" i="5"/>
  <c r="P58" i="5" s="1"/>
  <c r="G168" i="5"/>
  <c r="O168" i="5" s="1"/>
  <c r="G170" i="5" s="1"/>
  <c r="I120" i="5"/>
  <c r="P120" i="5" s="1"/>
  <c r="G78" i="5"/>
  <c r="O78" i="5" s="1"/>
  <c r="I168" i="5"/>
  <c r="P168" i="5" s="1"/>
  <c r="I170" i="5" s="1"/>
  <c r="H216" i="5"/>
  <c r="I48" i="5"/>
  <c r="P48" i="5" s="1"/>
  <c r="I68" i="5"/>
  <c r="P68" i="5" s="1"/>
  <c r="G41" i="5"/>
  <c r="O41" i="5" s="1"/>
  <c r="I268" i="5"/>
  <c r="G270" i="5"/>
  <c r="I270" i="5"/>
  <c r="I250" i="5"/>
  <c r="AH195" i="1"/>
  <c r="U200" i="1"/>
  <c r="CZ161" i="1"/>
  <c r="Y161" i="1" s="1"/>
  <c r="CY161" i="1"/>
  <c r="X161" i="1" s="1"/>
  <c r="AJ164" i="1"/>
  <c r="AO195" i="1"/>
  <c r="F204" i="1"/>
  <c r="AF200" i="1"/>
  <c r="AG200" i="1"/>
  <c r="AT164" i="1"/>
  <c r="CC157" i="1"/>
  <c r="AH164" i="1"/>
  <c r="AP153" i="1"/>
  <c r="F238" i="1"/>
  <c r="G17" i="2" s="1"/>
  <c r="AQ157" i="1"/>
  <c r="F174" i="1"/>
  <c r="AG164" i="1"/>
  <c r="CL195" i="1"/>
  <c r="BC200" i="1"/>
  <c r="CC195" i="1"/>
  <c r="AT200" i="1"/>
  <c r="BA200" i="1"/>
  <c r="CJ195" i="1"/>
  <c r="CZ159" i="1"/>
  <c r="Y159" i="1" s="1"/>
  <c r="AF164" i="1"/>
  <c r="CY159" i="1"/>
  <c r="X159" i="1" s="1"/>
  <c r="AJ200" i="1"/>
  <c r="AI200" i="1"/>
  <c r="BC157" i="1"/>
  <c r="F180" i="1"/>
  <c r="BC229" i="1"/>
  <c r="CI157" i="1"/>
  <c r="AZ164" i="1"/>
  <c r="CJ164" i="1"/>
  <c r="BB153" i="1"/>
  <c r="F242" i="1"/>
  <c r="CZ198" i="1"/>
  <c r="Y198" i="1" s="1"/>
  <c r="CY198" i="1"/>
  <c r="X198" i="1" s="1"/>
  <c r="CP197" i="1"/>
  <c r="O197" i="1" s="1"/>
  <c r="AI164" i="1"/>
  <c r="GK159" i="1"/>
  <c r="CI200" i="1"/>
  <c r="AQ200" i="1"/>
  <c r="CQ198" i="1"/>
  <c r="P198" i="1" s="1"/>
  <c r="CP198" i="1" s="1"/>
  <c r="O198" i="1" s="1"/>
  <c r="AD198" i="1"/>
  <c r="CR198" i="1" s="1"/>
  <c r="Q198" i="1" s="1"/>
  <c r="AD200" i="1" s="1"/>
  <c r="CS197" i="1"/>
  <c r="R197" i="1" s="1"/>
  <c r="CY197" i="1" s="1"/>
  <c r="X197" i="1" s="1"/>
  <c r="AK200" i="1" s="1"/>
  <c r="AB197" i="1"/>
  <c r="CB195" i="1"/>
  <c r="BX195" i="1"/>
  <c r="CG164" i="1"/>
  <c r="AS164" i="1"/>
  <c r="AO164" i="1"/>
  <c r="CS162" i="1"/>
  <c r="R162" i="1" s="1"/>
  <c r="GK162" i="1" s="1"/>
  <c r="AB162" i="1"/>
  <c r="CQ161" i="1"/>
  <c r="P161" i="1" s="1"/>
  <c r="AD161" i="1"/>
  <c r="CR161" i="1" s="1"/>
  <c r="Q161" i="1" s="1"/>
  <c r="CS160" i="1"/>
  <c r="R160" i="1" s="1"/>
  <c r="GK160" i="1" s="1"/>
  <c r="AB160" i="1"/>
  <c r="CQ159" i="1"/>
  <c r="P159" i="1" s="1"/>
  <c r="AD159" i="1"/>
  <c r="CR159" i="1" s="1"/>
  <c r="Q159" i="1" s="1"/>
  <c r="AD164" i="1" s="1"/>
  <c r="CL157" i="1"/>
  <c r="BZ157" i="1"/>
  <c r="BZ83" i="1"/>
  <c r="AQ92" i="1"/>
  <c r="BY92" i="1"/>
  <c r="BY157" i="1"/>
  <c r="CL83" i="1"/>
  <c r="BC92" i="1"/>
  <c r="BX83" i="1"/>
  <c r="AO92" i="1"/>
  <c r="CG92" i="1"/>
  <c r="AD90" i="1"/>
  <c r="CR90" i="1" s="1"/>
  <c r="Q90" i="1" s="1"/>
  <c r="CS90" i="1"/>
  <c r="R90" i="1" s="1"/>
  <c r="GK90" i="1" s="1"/>
  <c r="CG200" i="1"/>
  <c r="CD83" i="1"/>
  <c r="AU92" i="1"/>
  <c r="S90" i="1"/>
  <c r="P90" i="1"/>
  <c r="CP90" i="1" s="1"/>
  <c r="O90" i="1" s="1"/>
  <c r="CR85" i="1"/>
  <c r="Q85" i="1" s="1"/>
  <c r="AB85" i="1"/>
  <c r="CB83" i="1"/>
  <c r="AS92" i="1"/>
  <c r="CP89" i="1"/>
  <c r="O89" i="1" s="1"/>
  <c r="GK85" i="1"/>
  <c r="AB90" i="1"/>
  <c r="CT89" i="1"/>
  <c r="S89" i="1" s="1"/>
  <c r="CS88" i="1"/>
  <c r="R88" i="1" s="1"/>
  <c r="GK88" i="1" s="1"/>
  <c r="AB88" i="1"/>
  <c r="CT87" i="1"/>
  <c r="S87" i="1" s="1"/>
  <c r="CR86" i="1"/>
  <c r="W85" i="1"/>
  <c r="S85" i="1"/>
  <c r="CY50" i="1"/>
  <c r="X50" i="1" s="1"/>
  <c r="CZ50" i="1"/>
  <c r="Y50" i="1" s="1"/>
  <c r="CY48" i="1"/>
  <c r="X48" i="1" s="1"/>
  <c r="CZ48" i="1"/>
  <c r="Y48" i="1" s="1"/>
  <c r="GN48" i="1" s="1"/>
  <c r="CP46" i="1"/>
  <c r="O46" i="1" s="1"/>
  <c r="CZ45" i="1"/>
  <c r="Y45" i="1" s="1"/>
  <c r="CY45" i="1"/>
  <c r="X45" i="1" s="1"/>
  <c r="CX84" i="3"/>
  <c r="CX88" i="3"/>
  <c r="CX92" i="3"/>
  <c r="CX85" i="3"/>
  <c r="CX89" i="3"/>
  <c r="CX93" i="3"/>
  <c r="CX82" i="3"/>
  <c r="CX86" i="3"/>
  <c r="CX90" i="3"/>
  <c r="CX83" i="3"/>
  <c r="CX87" i="3"/>
  <c r="CX91" i="3"/>
  <c r="CX73" i="3"/>
  <c r="CX74" i="3"/>
  <c r="CX75" i="3"/>
  <c r="CY46" i="1"/>
  <c r="X46" i="1" s="1"/>
  <c r="CZ46" i="1"/>
  <c r="Y46" i="1" s="1"/>
  <c r="CY47" i="1"/>
  <c r="X47" i="1" s="1"/>
  <c r="CZ47" i="1"/>
  <c r="Y47" i="1" s="1"/>
  <c r="CP45" i="1"/>
  <c r="O45" i="1" s="1"/>
  <c r="CP43" i="1"/>
  <c r="O43" i="1" s="1"/>
  <c r="I86" i="1"/>
  <c r="GX86" i="1" s="1"/>
  <c r="CJ92" i="1" s="1"/>
  <c r="GO50" i="1"/>
  <c r="GM50" i="1"/>
  <c r="GM48" i="1"/>
  <c r="CY44" i="1"/>
  <c r="X44" i="1" s="1"/>
  <c r="CZ44" i="1"/>
  <c r="Y44" i="1" s="1"/>
  <c r="CZ43" i="1"/>
  <c r="Y43" i="1" s="1"/>
  <c r="CY43" i="1"/>
  <c r="X43" i="1" s="1"/>
  <c r="AO52" i="1"/>
  <c r="AB50" i="1"/>
  <c r="CX72" i="3"/>
  <c r="CX71" i="3"/>
  <c r="AB48" i="1"/>
  <c r="CX64" i="3"/>
  <c r="CX68" i="3"/>
  <c r="CX65" i="3"/>
  <c r="CX69" i="3"/>
  <c r="CX66" i="3"/>
  <c r="CX70" i="3"/>
  <c r="CX63" i="3"/>
  <c r="CX67" i="3"/>
  <c r="AB46" i="1"/>
  <c r="CZ42" i="1"/>
  <c r="Y42" i="1" s="1"/>
  <c r="CY41" i="1"/>
  <c r="X41" i="1" s="1"/>
  <c r="CZ41" i="1"/>
  <c r="Y41" i="1" s="1"/>
  <c r="CR39" i="1"/>
  <c r="Q39" i="1" s="1"/>
  <c r="AB39" i="1"/>
  <c r="CR38" i="1"/>
  <c r="Q38" i="1" s="1"/>
  <c r="AB38" i="1"/>
  <c r="CR35" i="1"/>
  <c r="Q35" i="1" s="1"/>
  <c r="AB35" i="1"/>
  <c r="CR34" i="1"/>
  <c r="Q34" i="1" s="1"/>
  <c r="AB34" i="1"/>
  <c r="CY30" i="1"/>
  <c r="X30" i="1" s="1"/>
  <c r="CZ30" i="1"/>
  <c r="Y30" i="1" s="1"/>
  <c r="CQ49" i="1"/>
  <c r="P49" i="1" s="1"/>
  <c r="AD49" i="1"/>
  <c r="CR49" i="1" s="1"/>
  <c r="CQ47" i="1"/>
  <c r="P47" i="1" s="1"/>
  <c r="CP47" i="1" s="1"/>
  <c r="O47" i="1" s="1"/>
  <c r="AD47" i="1"/>
  <c r="CR47" i="1" s="1"/>
  <c r="Q47" i="1" s="1"/>
  <c r="CQ44" i="1"/>
  <c r="P44" i="1" s="1"/>
  <c r="CP44" i="1" s="1"/>
  <c r="O44" i="1" s="1"/>
  <c r="AD44" i="1"/>
  <c r="CR44" i="1" s="1"/>
  <c r="Q44" i="1" s="1"/>
  <c r="CP38" i="1"/>
  <c r="O38" i="1" s="1"/>
  <c r="CY36" i="1"/>
  <c r="X36" i="1" s="1"/>
  <c r="CZ36" i="1"/>
  <c r="Y36" i="1" s="1"/>
  <c r="CY33" i="1"/>
  <c r="X33" i="1" s="1"/>
  <c r="CZ33" i="1"/>
  <c r="Y33" i="1" s="1"/>
  <c r="CI52" i="1"/>
  <c r="BC52" i="1"/>
  <c r="AU52" i="1"/>
  <c r="AQ52" i="1"/>
  <c r="CP41" i="1"/>
  <c r="O41" i="1" s="1"/>
  <c r="CR37" i="1"/>
  <c r="Q37" i="1" s="1"/>
  <c r="CP37" i="1" s="1"/>
  <c r="O37" i="1" s="1"/>
  <c r="AB37" i="1"/>
  <c r="CR36" i="1"/>
  <c r="Q36" i="1" s="1"/>
  <c r="CP36" i="1" s="1"/>
  <c r="O36" i="1" s="1"/>
  <c r="AB36" i="1"/>
  <c r="CP35" i="1"/>
  <c r="O35" i="1" s="1"/>
  <c r="CP33" i="1"/>
  <c r="O33" i="1" s="1"/>
  <c r="GO32" i="1"/>
  <c r="BB52" i="1"/>
  <c r="AX52" i="1"/>
  <c r="AP52" i="1"/>
  <c r="I49" i="1"/>
  <c r="W49" i="1" s="1"/>
  <c r="CX52" i="3"/>
  <c r="CX50" i="3"/>
  <c r="CX51" i="3"/>
  <c r="CY42" i="1"/>
  <c r="X42" i="1" s="1"/>
  <c r="GM42" i="1" s="1"/>
  <c r="AB41" i="1"/>
  <c r="CZ40" i="1"/>
  <c r="Y40" i="1" s="1"/>
  <c r="CY40" i="1"/>
  <c r="X40" i="1" s="1"/>
  <c r="S39" i="1"/>
  <c r="CY38" i="1"/>
  <c r="X38" i="1" s="1"/>
  <c r="CZ38" i="1"/>
  <c r="Y38" i="1" s="1"/>
  <c r="T37" i="1"/>
  <c r="CY35" i="1"/>
  <c r="X35" i="1" s="1"/>
  <c r="CY34" i="1"/>
  <c r="X34" i="1" s="1"/>
  <c r="CZ34" i="1"/>
  <c r="Y34" i="1" s="1"/>
  <c r="CY28" i="1"/>
  <c r="X28" i="1" s="1"/>
  <c r="CZ28" i="1"/>
  <c r="Y28" i="1" s="1"/>
  <c r="CQ40" i="1"/>
  <c r="P40" i="1" s="1"/>
  <c r="CP40" i="1" s="1"/>
  <c r="O40" i="1" s="1"/>
  <c r="CS39" i="1"/>
  <c r="R39" i="1" s="1"/>
  <c r="GK39" i="1" s="1"/>
  <c r="CS37" i="1"/>
  <c r="R37" i="1" s="1"/>
  <c r="GK37" i="1" s="1"/>
  <c r="CS35" i="1"/>
  <c r="R35" i="1" s="1"/>
  <c r="AB33" i="1"/>
  <c r="CZ31" i="1"/>
  <c r="Y31" i="1" s="1"/>
  <c r="CY31" i="1"/>
  <c r="X31" i="1" s="1"/>
  <c r="CX40" i="3"/>
  <c r="CX38" i="3"/>
  <c r="CX39" i="3"/>
  <c r="CX28" i="3"/>
  <c r="CX32" i="3"/>
  <c r="CX36" i="3"/>
  <c r="CX29" i="3"/>
  <c r="CX33" i="3"/>
  <c r="CX37" i="3"/>
  <c r="CX26" i="3"/>
  <c r="CX30" i="3"/>
  <c r="CX34" i="3"/>
  <c r="CX27" i="3"/>
  <c r="CX31" i="3"/>
  <c r="CX35" i="3"/>
  <c r="CX16" i="3"/>
  <c r="CX20" i="3"/>
  <c r="CX24" i="3"/>
  <c r="CX17" i="3"/>
  <c r="CX21" i="3"/>
  <c r="CX25" i="3"/>
  <c r="CX14" i="3"/>
  <c r="CX18" i="3"/>
  <c r="CX22" i="3"/>
  <c r="CX15" i="3"/>
  <c r="CX19" i="3"/>
  <c r="CX23" i="3"/>
  <c r="CP29" i="1"/>
  <c r="O29" i="1" s="1"/>
  <c r="AB28" i="1"/>
  <c r="CQ28" i="1"/>
  <c r="P28" i="1" s="1"/>
  <c r="CX48" i="3"/>
  <c r="CX49" i="3"/>
  <c r="CX47" i="3"/>
  <c r="CP31" i="1"/>
  <c r="O31" i="1" s="1"/>
  <c r="AB30" i="1"/>
  <c r="CQ30" i="1"/>
  <c r="P30" i="1" s="1"/>
  <c r="CP30" i="1" s="1"/>
  <c r="O30" i="1" s="1"/>
  <c r="T29" i="1"/>
  <c r="AB29" i="1"/>
  <c r="CZ32" i="1"/>
  <c r="Y32" i="1" s="1"/>
  <c r="GM32" i="1" s="1"/>
  <c r="T31" i="1"/>
  <c r="AB31" i="1"/>
  <c r="W29" i="1"/>
  <c r="S29" i="1"/>
  <c r="CX3" i="3"/>
  <c r="CX2" i="3"/>
  <c r="G138" i="5" l="1"/>
  <c r="I172" i="5"/>
  <c r="H26" i="5"/>
  <c r="G172" i="5"/>
  <c r="I138" i="5"/>
  <c r="GM36" i="1"/>
  <c r="GO36" i="1"/>
  <c r="AK195" i="1"/>
  <c r="X200" i="1"/>
  <c r="AD195" i="1"/>
  <c r="Q200" i="1"/>
  <c r="AJ52" i="1"/>
  <c r="GM40" i="1"/>
  <c r="GO40" i="1"/>
  <c r="AP26" i="1"/>
  <c r="F61" i="1"/>
  <c r="GK35" i="1"/>
  <c r="CZ35" i="1"/>
  <c r="Y35" i="1" s="1"/>
  <c r="AX26" i="1"/>
  <c r="F59" i="1"/>
  <c r="GO33" i="1"/>
  <c r="GM33" i="1"/>
  <c r="AQ26" i="1"/>
  <c r="F62" i="1"/>
  <c r="AQ121" i="1"/>
  <c r="Q49" i="1"/>
  <c r="GX49" i="1"/>
  <c r="CJ52" i="1" s="1"/>
  <c r="GM43" i="1"/>
  <c r="GO43" i="1"/>
  <c r="U49" i="1"/>
  <c r="AH52" i="1" s="1"/>
  <c r="GO42" i="1"/>
  <c r="Q86" i="1"/>
  <c r="CY89" i="1"/>
  <c r="X89" i="1" s="1"/>
  <c r="CZ89" i="1"/>
  <c r="Y89" i="1" s="1"/>
  <c r="P86" i="1"/>
  <c r="R86" i="1"/>
  <c r="CY90" i="1"/>
  <c r="X90" i="1" s="1"/>
  <c r="CZ90" i="1"/>
  <c r="Y90" i="1" s="1"/>
  <c r="T86" i="1"/>
  <c r="AG92" i="1" s="1"/>
  <c r="BC83" i="1"/>
  <c r="F108" i="1"/>
  <c r="V86" i="1"/>
  <c r="AI92" i="1" s="1"/>
  <c r="AC164" i="1"/>
  <c r="CP159" i="1"/>
  <c r="O159" i="1" s="1"/>
  <c r="CP161" i="1"/>
  <c r="O161" i="1" s="1"/>
  <c r="F181" i="1"/>
  <c r="AS229" i="1"/>
  <c r="AS157" i="1"/>
  <c r="AQ195" i="1"/>
  <c r="F210" i="1"/>
  <c r="AI157" i="1"/>
  <c r="V164" i="1"/>
  <c r="AB200" i="1"/>
  <c r="CY162" i="1"/>
  <c r="X162" i="1" s="1"/>
  <c r="AJ195" i="1"/>
  <c r="W200" i="1"/>
  <c r="BA195" i="1"/>
  <c r="F220" i="1"/>
  <c r="AH157" i="1"/>
  <c r="U164" i="1"/>
  <c r="F182" i="1"/>
  <c r="AT157" i="1"/>
  <c r="AT229" i="1"/>
  <c r="CP28" i="1"/>
  <c r="O28" i="1" s="1"/>
  <c r="AC52" i="1"/>
  <c r="BB26" i="1"/>
  <c r="F65" i="1"/>
  <c r="BB121" i="1"/>
  <c r="GO35" i="1"/>
  <c r="GM35" i="1"/>
  <c r="AU26" i="1"/>
  <c r="F71" i="1"/>
  <c r="AU121" i="1"/>
  <c r="CZ37" i="1"/>
  <c r="Y37" i="1" s="1"/>
  <c r="GO44" i="1"/>
  <c r="GM44" i="1"/>
  <c r="AD52" i="1"/>
  <c r="AO26" i="1"/>
  <c r="F56" i="1"/>
  <c r="AO121" i="1"/>
  <c r="AB44" i="1"/>
  <c r="T49" i="1"/>
  <c r="AG52" i="1" s="1"/>
  <c r="R49" i="1"/>
  <c r="GK49" i="1" s="1"/>
  <c r="CY87" i="1"/>
  <c r="X87" i="1" s="1"/>
  <c r="CZ87" i="1"/>
  <c r="Y87" i="1" s="1"/>
  <c r="GM89" i="1"/>
  <c r="GO89" i="1"/>
  <c r="AD92" i="1"/>
  <c r="CZ88" i="1"/>
  <c r="Y88" i="1" s="1"/>
  <c r="AU83" i="1"/>
  <c r="F111" i="1"/>
  <c r="CG83" i="1"/>
  <c r="AX92" i="1"/>
  <c r="CP85" i="1"/>
  <c r="O85" i="1" s="1"/>
  <c r="CP87" i="1"/>
  <c r="O87" i="1" s="1"/>
  <c r="AX164" i="1"/>
  <c r="CG157" i="1"/>
  <c r="GK197" i="1"/>
  <c r="AE200" i="1"/>
  <c r="AZ200" i="1"/>
  <c r="AZ229" i="1" s="1"/>
  <c r="CI195" i="1"/>
  <c r="CJ157" i="1"/>
  <c r="BA164" i="1"/>
  <c r="AZ157" i="1"/>
  <c r="F175" i="1"/>
  <c r="AB198" i="1"/>
  <c r="AT195" i="1"/>
  <c r="F218" i="1"/>
  <c r="AG157" i="1"/>
  <c r="T164" i="1"/>
  <c r="CZ160" i="1"/>
  <c r="Y160" i="1" s="1"/>
  <c r="AL164" i="1" s="1"/>
  <c r="AG195" i="1"/>
  <c r="T200" i="1"/>
  <c r="GM31" i="1"/>
  <c r="GN31" i="1"/>
  <c r="GN30" i="1"/>
  <c r="GM30" i="1"/>
  <c r="CZ29" i="1"/>
  <c r="Y29" i="1" s="1"/>
  <c r="CY29" i="1"/>
  <c r="X29" i="1" s="1"/>
  <c r="CY39" i="1"/>
  <c r="X39" i="1" s="1"/>
  <c r="CZ39" i="1"/>
  <c r="Y39" i="1" s="1"/>
  <c r="CP39" i="1"/>
  <c r="O39" i="1" s="1"/>
  <c r="BC26" i="1"/>
  <c r="F68" i="1"/>
  <c r="BC121" i="1"/>
  <c r="CP34" i="1"/>
  <c r="O34" i="1" s="1"/>
  <c r="CY37" i="1"/>
  <c r="X37" i="1" s="1"/>
  <c r="GO37" i="1" s="1"/>
  <c r="GM45" i="1"/>
  <c r="GO45" i="1"/>
  <c r="S49" i="1"/>
  <c r="AF52" i="1" s="1"/>
  <c r="AB47" i="1"/>
  <c r="GO46" i="1"/>
  <c r="GM46" i="1"/>
  <c r="V49" i="1"/>
  <c r="AI52" i="1" s="1"/>
  <c r="CY85" i="1"/>
  <c r="X85" i="1" s="1"/>
  <c r="CZ85" i="1"/>
  <c r="Y85" i="1" s="1"/>
  <c r="AS83" i="1"/>
  <c r="F109" i="1"/>
  <c r="CY88" i="1"/>
  <c r="X88" i="1" s="1"/>
  <c r="AO83" i="1"/>
  <c r="F96" i="1"/>
  <c r="S86" i="1"/>
  <c r="AF92" i="1" s="1"/>
  <c r="BY83" i="1"/>
  <c r="CI92" i="1"/>
  <c r="AP92" i="1"/>
  <c r="AP121" i="1" s="1"/>
  <c r="AE164" i="1"/>
  <c r="AB161" i="1"/>
  <c r="AQ229" i="1"/>
  <c r="CY160" i="1"/>
  <c r="X160" i="1" s="1"/>
  <c r="AK164" i="1" s="1"/>
  <c r="AF195" i="1"/>
  <c r="S200" i="1"/>
  <c r="U195" i="1"/>
  <c r="F222" i="1"/>
  <c r="GM41" i="1"/>
  <c r="GO41" i="1"/>
  <c r="CI26" i="1"/>
  <c r="AZ52" i="1"/>
  <c r="GM38" i="1"/>
  <c r="GO38" i="1"/>
  <c r="GO47" i="1"/>
  <c r="GM47" i="1"/>
  <c r="CJ83" i="1"/>
  <c r="BA92" i="1"/>
  <c r="AB49" i="1"/>
  <c r="U86" i="1"/>
  <c r="AH92" i="1" s="1"/>
  <c r="GO90" i="1"/>
  <c r="GM90" i="1"/>
  <c r="CG195" i="1"/>
  <c r="AX200" i="1"/>
  <c r="W86" i="1"/>
  <c r="AJ92" i="1" s="1"/>
  <c r="AQ83" i="1"/>
  <c r="F102" i="1"/>
  <c r="AD157" i="1"/>
  <c r="Q164" i="1"/>
  <c r="AO229" i="1"/>
  <c r="AO157" i="1"/>
  <c r="F168" i="1"/>
  <c r="GM198" i="1"/>
  <c r="GP198" i="1"/>
  <c r="AC200" i="1"/>
  <c r="CZ162" i="1"/>
  <c r="Y162" i="1" s="1"/>
  <c r="BC153" i="1"/>
  <c r="F245" i="1"/>
  <c r="AI195" i="1"/>
  <c r="V200" i="1"/>
  <c r="AF157" i="1"/>
  <c r="S164" i="1"/>
  <c r="F216" i="1"/>
  <c r="BC195" i="1"/>
  <c r="AB159" i="1"/>
  <c r="CZ197" i="1"/>
  <c r="Y197" i="1" s="1"/>
  <c r="AL200" i="1" s="1"/>
  <c r="AJ157" i="1"/>
  <c r="W164" i="1"/>
  <c r="AJ83" i="1" l="1"/>
  <c r="W92" i="1"/>
  <c r="AK157" i="1"/>
  <c r="X164" i="1"/>
  <c r="AP22" i="1"/>
  <c r="F130" i="1"/>
  <c r="G16" i="2" s="1"/>
  <c r="G19" i="2" s="1"/>
  <c r="AP258" i="1"/>
  <c r="AF26" i="1"/>
  <c r="S52" i="1"/>
  <c r="AZ153" i="1"/>
  <c r="F240" i="1"/>
  <c r="AL157" i="1"/>
  <c r="Y164" i="1"/>
  <c r="AF83" i="1"/>
  <c r="S92" i="1"/>
  <c r="AG26" i="1"/>
  <c r="T52" i="1"/>
  <c r="S157" i="1"/>
  <c r="F179" i="1"/>
  <c r="S229" i="1"/>
  <c r="W157" i="1"/>
  <c r="F188" i="1"/>
  <c r="W229" i="1"/>
  <c r="AX195" i="1"/>
  <c r="F207" i="1"/>
  <c r="AH83" i="1"/>
  <c r="U92" i="1"/>
  <c r="S195" i="1"/>
  <c r="F215" i="1"/>
  <c r="CI83" i="1"/>
  <c r="AZ92" i="1"/>
  <c r="BC22" i="1"/>
  <c r="F137" i="1"/>
  <c r="BC258" i="1"/>
  <c r="F185" i="1"/>
  <c r="T157" i="1"/>
  <c r="T229" i="1"/>
  <c r="BA229" i="1"/>
  <c r="BA157" i="1"/>
  <c r="F184" i="1"/>
  <c r="AE195" i="1"/>
  <c r="R200" i="1"/>
  <c r="GM87" i="1"/>
  <c r="GO87" i="1"/>
  <c r="BB22" i="1"/>
  <c r="F134" i="1"/>
  <c r="BB258" i="1"/>
  <c r="GN29" i="1"/>
  <c r="AT153" i="1"/>
  <c r="F247" i="1"/>
  <c r="F17" i="2" s="1"/>
  <c r="F224" i="1"/>
  <c r="W195" i="1"/>
  <c r="GM197" i="1"/>
  <c r="CA200" i="1" s="1"/>
  <c r="AI83" i="1"/>
  <c r="V92" i="1"/>
  <c r="AH26" i="1"/>
  <c r="U52" i="1"/>
  <c r="Q195" i="1"/>
  <c r="F212" i="1"/>
  <c r="BA83" i="1"/>
  <c r="F112" i="1"/>
  <c r="V195" i="1"/>
  <c r="F223" i="1"/>
  <c r="AC195" i="1"/>
  <c r="P200" i="1"/>
  <c r="CF200" i="1"/>
  <c r="CE200" i="1"/>
  <c r="CH200" i="1"/>
  <c r="AZ26" i="1"/>
  <c r="F63" i="1"/>
  <c r="AZ121" i="1"/>
  <c r="GO88" i="1"/>
  <c r="GM88" i="1"/>
  <c r="AL92" i="1"/>
  <c r="T195" i="1"/>
  <c r="F221" i="1"/>
  <c r="GO85" i="1"/>
  <c r="GM85" i="1"/>
  <c r="GM29" i="1"/>
  <c r="GP197" i="1"/>
  <c r="CD200" i="1" s="1"/>
  <c r="GM161" i="1"/>
  <c r="GP161" i="1"/>
  <c r="AQ22" i="1"/>
  <c r="F131" i="1"/>
  <c r="AQ258" i="1"/>
  <c r="AL195" i="1"/>
  <c r="Y200" i="1"/>
  <c r="AO153" i="1"/>
  <c r="F233" i="1"/>
  <c r="GP160" i="1"/>
  <c r="GM160" i="1"/>
  <c r="AE157" i="1"/>
  <c r="R164" i="1"/>
  <c r="CY86" i="1"/>
  <c r="X86" i="1" s="1"/>
  <c r="AK92" i="1" s="1"/>
  <c r="CZ86" i="1"/>
  <c r="Y86" i="1" s="1"/>
  <c r="AX83" i="1"/>
  <c r="F99" i="1"/>
  <c r="AD26" i="1"/>
  <c r="Q52" i="1"/>
  <c r="AC26" i="1"/>
  <c r="CH52" i="1"/>
  <c r="CE52" i="1"/>
  <c r="P52" i="1"/>
  <c r="CF52" i="1"/>
  <c r="GP162" i="1"/>
  <c r="GM162" i="1"/>
  <c r="V229" i="1"/>
  <c r="F187" i="1"/>
  <c r="V157" i="1"/>
  <c r="GM159" i="1"/>
  <c r="AB164" i="1"/>
  <c r="GP159" i="1"/>
  <c r="GK86" i="1"/>
  <c r="AE92" i="1"/>
  <c r="AX121" i="1"/>
  <c r="X195" i="1"/>
  <c r="F225" i="1"/>
  <c r="GM37" i="1"/>
  <c r="Q157" i="1"/>
  <c r="F176" i="1"/>
  <c r="Q229" i="1"/>
  <c r="AQ153" i="1"/>
  <c r="F239" i="1"/>
  <c r="AP83" i="1"/>
  <c r="F101" i="1"/>
  <c r="AI26" i="1"/>
  <c r="V52" i="1"/>
  <c r="CY49" i="1"/>
  <c r="X49" i="1" s="1"/>
  <c r="AK52" i="1" s="1"/>
  <c r="CZ49" i="1"/>
  <c r="Y49" i="1" s="1"/>
  <c r="AL52" i="1" s="1"/>
  <c r="GM34" i="1"/>
  <c r="GO34" i="1"/>
  <c r="CC52" i="1" s="1"/>
  <c r="GO39" i="1"/>
  <c r="GM39" i="1"/>
  <c r="AZ195" i="1"/>
  <c r="F211" i="1"/>
  <c r="F171" i="1"/>
  <c r="AX157" i="1"/>
  <c r="AX229" i="1"/>
  <c r="AD83" i="1"/>
  <c r="Q92" i="1"/>
  <c r="AO22" i="1"/>
  <c r="F125" i="1"/>
  <c r="AO258" i="1"/>
  <c r="CP49" i="1"/>
  <c r="O49" i="1" s="1"/>
  <c r="AU22" i="1"/>
  <c r="F140" i="1"/>
  <c r="GN28" i="1"/>
  <c r="GM28" i="1"/>
  <c r="F186" i="1"/>
  <c r="U157" i="1"/>
  <c r="U229" i="1"/>
  <c r="AB195" i="1"/>
  <c r="O200" i="1"/>
  <c r="AS153" i="1"/>
  <c r="F246" i="1"/>
  <c r="E17" i="2" s="1"/>
  <c r="CH164" i="1"/>
  <c r="CE164" i="1"/>
  <c r="AC157" i="1"/>
  <c r="P164" i="1"/>
  <c r="CF164" i="1"/>
  <c r="AG83" i="1"/>
  <c r="T92" i="1"/>
  <c r="CP86" i="1"/>
  <c r="O86" i="1" s="1"/>
  <c r="AC92" i="1"/>
  <c r="CJ26" i="1"/>
  <c r="BA52" i="1"/>
  <c r="AE52" i="1"/>
  <c r="AJ26" i="1"/>
  <c r="W52" i="1"/>
  <c r="AK26" i="1" l="1"/>
  <c r="X52" i="1"/>
  <c r="AK83" i="1"/>
  <c r="X92" i="1"/>
  <c r="AL26" i="1"/>
  <c r="Y52" i="1"/>
  <c r="AE26" i="1"/>
  <c r="R52" i="1"/>
  <c r="CB52" i="1"/>
  <c r="GN49" i="1"/>
  <c r="GM49" i="1"/>
  <c r="Q83" i="1"/>
  <c r="F104" i="1"/>
  <c r="CD164" i="1"/>
  <c r="CF26" i="1"/>
  <c r="AW52" i="1"/>
  <c r="F178" i="1"/>
  <c r="R229" i="1"/>
  <c r="R157" i="1"/>
  <c r="AQ18" i="1"/>
  <c r="F268" i="1"/>
  <c r="AL83" i="1"/>
  <c r="Y92" i="1"/>
  <c r="AW200" i="1"/>
  <c r="CF195" i="1"/>
  <c r="R195" i="1"/>
  <c r="F214" i="1"/>
  <c r="BA153" i="1"/>
  <c r="F249" i="1"/>
  <c r="BC18" i="1"/>
  <c r="F274" i="1"/>
  <c r="S83" i="1"/>
  <c r="F107" i="1"/>
  <c r="F189" i="1"/>
  <c r="X157" i="1"/>
  <c r="X229" i="1"/>
  <c r="T83" i="1"/>
  <c r="F113" i="1"/>
  <c r="CE157" i="1"/>
  <c r="AV164" i="1"/>
  <c r="CC26" i="1"/>
  <c r="AT52" i="1"/>
  <c r="V26" i="1"/>
  <c r="F75" i="1"/>
  <c r="V121" i="1"/>
  <c r="AX22" i="1"/>
  <c r="F128" i="1"/>
  <c r="AX258" i="1"/>
  <c r="AB157" i="1"/>
  <c r="O164" i="1"/>
  <c r="V153" i="1"/>
  <c r="F252" i="1"/>
  <c r="P26" i="1"/>
  <c r="F55" i="1"/>
  <c r="Q26" i="1"/>
  <c r="F64" i="1"/>
  <c r="Q121" i="1"/>
  <c r="CD195" i="1"/>
  <c r="AU200" i="1"/>
  <c r="CC92" i="1"/>
  <c r="P195" i="1"/>
  <c r="F203" i="1"/>
  <c r="U26" i="1"/>
  <c r="F74" i="1"/>
  <c r="U121" i="1"/>
  <c r="AR200" i="1"/>
  <c r="CA195" i="1"/>
  <c r="T153" i="1"/>
  <c r="F250" i="1"/>
  <c r="T26" i="1"/>
  <c r="F73" i="1"/>
  <c r="T121" i="1"/>
  <c r="AP18" i="1"/>
  <c r="F267" i="1"/>
  <c r="GO86" i="1"/>
  <c r="GM86" i="1"/>
  <c r="CA92" i="1" s="1"/>
  <c r="P157" i="1"/>
  <c r="F167" i="1"/>
  <c r="P229" i="1"/>
  <c r="U153" i="1"/>
  <c r="F251" i="1"/>
  <c r="BA26" i="1"/>
  <c r="F72" i="1"/>
  <c r="BA121" i="1"/>
  <c r="W26" i="1"/>
  <c r="F76" i="1"/>
  <c r="W121" i="1"/>
  <c r="O195" i="1"/>
  <c r="F202" i="1"/>
  <c r="AO18" i="1"/>
  <c r="F262" i="1"/>
  <c r="AC83" i="1"/>
  <c r="CE92" i="1"/>
  <c r="P92" i="1"/>
  <c r="CF92" i="1"/>
  <c r="CH92" i="1"/>
  <c r="CF157" i="1"/>
  <c r="AW164" i="1"/>
  <c r="AY164" i="1"/>
  <c r="CH157" i="1"/>
  <c r="AB52" i="1"/>
  <c r="AX153" i="1"/>
  <c r="F236" i="1"/>
  <c r="AE83" i="1"/>
  <c r="R92" i="1"/>
  <c r="CA164" i="1"/>
  <c r="CE26" i="1"/>
  <c r="AV52" i="1"/>
  <c r="Y195" i="1"/>
  <c r="F226" i="1"/>
  <c r="CH195" i="1"/>
  <c r="AY200" i="1"/>
  <c r="F244" i="1"/>
  <c r="J17" i="2" s="1"/>
  <c r="S153" i="1"/>
  <c r="F190" i="1"/>
  <c r="Y157" i="1"/>
  <c r="Y229" i="1"/>
  <c r="W83" i="1"/>
  <c r="F116" i="1"/>
  <c r="CA52" i="1"/>
  <c r="Q153" i="1"/>
  <c r="F241" i="1"/>
  <c r="CH26" i="1"/>
  <c r="AY52" i="1"/>
  <c r="AB92" i="1"/>
  <c r="AZ22" i="1"/>
  <c r="F132" i="1"/>
  <c r="AZ258" i="1"/>
  <c r="AV200" i="1"/>
  <c r="CE195" i="1"/>
  <c r="V83" i="1"/>
  <c r="F115" i="1"/>
  <c r="BB18" i="1"/>
  <c r="F271" i="1"/>
  <c r="AZ83" i="1"/>
  <c r="F103" i="1"/>
  <c r="U83" i="1"/>
  <c r="F114" i="1"/>
  <c r="W153" i="1"/>
  <c r="F253" i="1"/>
  <c r="S26" i="1"/>
  <c r="F67" i="1"/>
  <c r="S121" i="1"/>
  <c r="CA83" i="1" l="1"/>
  <c r="AR92" i="1"/>
  <c r="AB83" i="1"/>
  <c r="O92" i="1"/>
  <c r="AZ18" i="1"/>
  <c r="F269" i="1"/>
  <c r="AY26" i="1"/>
  <c r="F60" i="1"/>
  <c r="CA26" i="1"/>
  <c r="AR52" i="1"/>
  <c r="F208" i="1"/>
  <c r="AY195" i="1"/>
  <c r="AV26" i="1"/>
  <c r="F57" i="1"/>
  <c r="AB26" i="1"/>
  <c r="O52" i="1"/>
  <c r="CE83" i="1"/>
  <c r="AV92" i="1"/>
  <c r="U22" i="1"/>
  <c r="F143" i="1"/>
  <c r="U258" i="1"/>
  <c r="Q22" i="1"/>
  <c r="Q258" i="1"/>
  <c r="F133" i="1"/>
  <c r="O157" i="1"/>
  <c r="F166" i="1"/>
  <c r="O229" i="1"/>
  <c r="AT26" i="1"/>
  <c r="F70" i="1"/>
  <c r="Y83" i="1"/>
  <c r="F118" i="1"/>
  <c r="AW26" i="1"/>
  <c r="F58" i="1"/>
  <c r="R26" i="1"/>
  <c r="F66" i="1"/>
  <c r="R121" i="1"/>
  <c r="X83" i="1"/>
  <c r="F117" i="1"/>
  <c r="S22" i="1"/>
  <c r="F136" i="1"/>
  <c r="J16" i="2" s="1"/>
  <c r="J19" i="2" s="1"/>
  <c r="S258" i="1"/>
  <c r="CH83" i="1"/>
  <c r="AY92" i="1"/>
  <c r="BA22" i="1"/>
  <c r="F141" i="1"/>
  <c r="H16" i="2" s="1"/>
  <c r="BA258" i="1"/>
  <c r="T22" i="1"/>
  <c r="F142" i="1"/>
  <c r="T258" i="1"/>
  <c r="CC83" i="1"/>
  <c r="AT92" i="1"/>
  <c r="AT121" i="1" s="1"/>
  <c r="V22" i="1"/>
  <c r="F144" i="1"/>
  <c r="V258" i="1"/>
  <c r="CA157" i="1"/>
  <c r="AR164" i="1"/>
  <c r="AY157" i="1"/>
  <c r="F172" i="1"/>
  <c r="AY229" i="1"/>
  <c r="CF83" i="1"/>
  <c r="AW92" i="1"/>
  <c r="W22" i="1"/>
  <c r="F145" i="1"/>
  <c r="W258" i="1"/>
  <c r="P153" i="1"/>
  <c r="F232" i="1"/>
  <c r="F219" i="1"/>
  <c r="AU195" i="1"/>
  <c r="AX18" i="1"/>
  <c r="F265" i="1"/>
  <c r="F169" i="1"/>
  <c r="AV157" i="1"/>
  <c r="AV229" i="1"/>
  <c r="R153" i="1"/>
  <c r="F243" i="1"/>
  <c r="AU164" i="1"/>
  <c r="CD157" i="1"/>
  <c r="Y26" i="1"/>
  <c r="F78" i="1"/>
  <c r="Y121" i="1"/>
  <c r="X26" i="1"/>
  <c r="F77" i="1"/>
  <c r="X121" i="1"/>
  <c r="AV195" i="1"/>
  <c r="F205" i="1"/>
  <c r="Y153" i="1"/>
  <c r="F255" i="1"/>
  <c r="R83" i="1"/>
  <c r="F106" i="1"/>
  <c r="F170" i="1"/>
  <c r="AW229" i="1"/>
  <c r="AW157" i="1"/>
  <c r="P83" i="1"/>
  <c r="F95" i="1"/>
  <c r="AR195" i="1"/>
  <c r="F227" i="1"/>
  <c r="P121" i="1"/>
  <c r="X153" i="1"/>
  <c r="F254" i="1"/>
  <c r="AW195" i="1"/>
  <c r="F206" i="1"/>
  <c r="CB26" i="1"/>
  <c r="AS52" i="1"/>
  <c r="AT22" i="1" l="1"/>
  <c r="F139" i="1"/>
  <c r="F16" i="2" s="1"/>
  <c r="F19" i="2" s="1"/>
  <c r="AT258" i="1"/>
  <c r="Y22" i="1"/>
  <c r="Y258" i="1"/>
  <c r="F147" i="1"/>
  <c r="AU157" i="1"/>
  <c r="F183" i="1"/>
  <c r="AU229" i="1"/>
  <c r="W18" i="1"/>
  <c r="F282" i="1"/>
  <c r="AR157" i="1"/>
  <c r="F191" i="1"/>
  <c r="AR229" i="1"/>
  <c r="R22" i="1"/>
  <c r="F135" i="1"/>
  <c r="R258" i="1"/>
  <c r="AV83" i="1"/>
  <c r="F97" i="1"/>
  <c r="AV121" i="1"/>
  <c r="O83" i="1"/>
  <c r="F94" i="1"/>
  <c r="P22" i="1"/>
  <c r="F124" i="1"/>
  <c r="P258" i="1"/>
  <c r="AS26" i="1"/>
  <c r="F69" i="1"/>
  <c r="AS121" i="1"/>
  <c r="AW153" i="1"/>
  <c r="F235" i="1"/>
  <c r="X22" i="1"/>
  <c r="F146" i="1"/>
  <c r="X258" i="1"/>
  <c r="AY153" i="1"/>
  <c r="F237" i="1"/>
  <c r="AT83" i="1"/>
  <c r="F110" i="1"/>
  <c r="AY83" i="1"/>
  <c r="F100" i="1"/>
  <c r="U18" i="1"/>
  <c r="F280" i="1"/>
  <c r="AR26" i="1"/>
  <c r="F79" i="1"/>
  <c r="AR121" i="1"/>
  <c r="V18" i="1"/>
  <c r="F281" i="1"/>
  <c r="BA18" i="1"/>
  <c r="F278" i="1"/>
  <c r="O26" i="1"/>
  <c r="F54" i="1"/>
  <c r="O121" i="1"/>
  <c r="AR83" i="1"/>
  <c r="F119" i="1"/>
  <c r="AV153" i="1"/>
  <c r="F234" i="1"/>
  <c r="AW83" i="1"/>
  <c r="F98" i="1"/>
  <c r="T18" i="1"/>
  <c r="F279" i="1"/>
  <c r="S18" i="1"/>
  <c r="F273" i="1"/>
  <c r="AW121" i="1"/>
  <c r="O153" i="1"/>
  <c r="F231" i="1"/>
  <c r="Q18" i="1"/>
  <c r="F270" i="1"/>
  <c r="AY121" i="1"/>
  <c r="AY22" i="1" l="1"/>
  <c r="F129" i="1"/>
  <c r="AY258" i="1"/>
  <c r="AR22" i="1"/>
  <c r="F148" i="1"/>
  <c r="F149" i="1" s="1"/>
  <c r="I176" i="5" s="1"/>
  <c r="AR258" i="1"/>
  <c r="AS22" i="1"/>
  <c r="F138" i="1"/>
  <c r="E16" i="2" s="1"/>
  <c r="AS258" i="1"/>
  <c r="AV22" i="1"/>
  <c r="F126" i="1"/>
  <c r="AV258" i="1"/>
  <c r="AW22" i="1"/>
  <c r="F127" i="1"/>
  <c r="AW258" i="1"/>
  <c r="AT18" i="1"/>
  <c r="F276" i="1"/>
  <c r="O22" i="1"/>
  <c r="F123" i="1"/>
  <c r="O258" i="1"/>
  <c r="AR153" i="1"/>
  <c r="F256" i="1"/>
  <c r="X18" i="1"/>
  <c r="F283" i="1"/>
  <c r="P18" i="1"/>
  <c r="F261" i="1"/>
  <c r="R18" i="1"/>
  <c r="F272" i="1"/>
  <c r="F248" i="1"/>
  <c r="H17" i="2" s="1"/>
  <c r="AU153" i="1"/>
  <c r="AU258" i="1"/>
  <c r="Y18" i="1"/>
  <c r="F284" i="1"/>
  <c r="I178" i="5" l="1"/>
  <c r="I180" i="5" s="1"/>
  <c r="O18" i="1"/>
  <c r="F260" i="1"/>
  <c r="AV18" i="1"/>
  <c r="F263" i="1"/>
  <c r="I16" i="2"/>
  <c r="E19" i="2"/>
  <c r="AU18" i="1"/>
  <c r="F277" i="1"/>
  <c r="AW18" i="1"/>
  <c r="F264" i="1"/>
  <c r="AY18" i="1"/>
  <c r="F266" i="1"/>
  <c r="I17" i="2"/>
  <c r="H19" i="2"/>
  <c r="AR18" i="1"/>
  <c r="F285" i="1"/>
  <c r="AS18" i="1"/>
  <c r="F275" i="1"/>
  <c r="I19" i="2" l="1"/>
</calcChain>
</file>

<file path=xl/sharedStrings.xml><?xml version="1.0" encoding="utf-8"?>
<sst xmlns="http://schemas.openxmlformats.org/spreadsheetml/2006/main" count="3800" uniqueCount="434">
  <si>
    <t>Smeta.RU  (495) 974-1589</t>
  </si>
  <si>
    <t>_PS_</t>
  </si>
  <si>
    <t>Smeta.RU</t>
  </si>
  <si>
    <t/>
  </si>
  <si>
    <t>присоединение РУ 0,4 ТП 5891 (ФЕР 2017)</t>
  </si>
  <si>
    <t>Т.О. Ащепкова</t>
  </si>
  <si>
    <t>Инженер-сметчик Дирекции по эксплуатации и содержанию объектов</t>
  </si>
  <si>
    <t>Л.И. Волмаер</t>
  </si>
  <si>
    <t>Руководитель Управления по ценообразованию и сметной работе</t>
  </si>
  <si>
    <t>Сметные нормы списания</t>
  </si>
  <si>
    <t>Коды ценников</t>
  </si>
  <si>
    <t>ФЕР-2017</t>
  </si>
  <si>
    <t>ТР для Версии 10: Центральные регионы (с учетом п-ма 2536-ИП/12/ГС от 22.03.2017 г</t>
  </si>
  <si>
    <t>Поправки  для ГСН 2017 от 31.03.2017 г</t>
  </si>
  <si>
    <t>04-01-01</t>
  </si>
  <si>
    <t>Присоединенение РУ 0,4 кВ</t>
  </si>
  <si>
    <t>Новый раздел</t>
  </si>
  <si>
    <t>РУ 0,4 кВ №1</t>
  </si>
  <si>
    <t>1</t>
  </si>
  <si>
    <t>01-02-061-01</t>
  </si>
  <si>
    <t>Засыпка вручную траншей, пазух котлованов и ям, группа грунтов 1 (засыпка песком)</t>
  </si>
  <si>
    <t>100 м3</t>
  </si>
  <si>
    <t>ФЕР-2001, 01-02-061-01, приказ Минстроя России №1039/пр от 30.12.2016г.</t>
  </si>
  <si>
    <t>Общестроительные работы</t>
  </si>
  <si>
    <t>Земляные работы, выполняемые  ручным способом</t>
  </si>
  <si>
    <t>ФЕР-01</t>
  </si>
  <si>
    <t>*0,85</t>
  </si>
  <si>
    <t>*0,8</t>
  </si>
  <si>
    <t>1,1</t>
  </si>
  <si>
    <t>02.3.01.02-0015</t>
  </si>
  <si>
    <t>Песок природный для строительных работ средний</t>
  </si>
  <si>
    <t>м3</t>
  </si>
  <si>
    <t>ФССЦ-2001, 02.3.01.02-0015, приказ Минстроя России №1039/пр от 30.12.2016г.</t>
  </si>
  <si>
    <t>2</t>
  </si>
  <si>
    <t>01-02-061-02</t>
  </si>
  <si>
    <t>Засыпка вручную траншей, пазух котлованов и ям, группа грунтов 2 (засыпка привозным грунтом)</t>
  </si>
  <si>
    <t>ФЕР-2001, 01-02-061-02, приказ Минстроя России №1039/пр от 30.12.2016г.</t>
  </si>
  <si>
    <t>2,1</t>
  </si>
  <si>
    <t>02.1.01.02-0002</t>
  </si>
  <si>
    <t>Грунт глинистый</t>
  </si>
  <si>
    <t>ФССЦ-2001, 02.1.01.02-0002, приказ Минстроя России №1039/пр от 30.12.2016г.</t>
  </si>
  <si>
    <t>3</t>
  </si>
  <si>
    <t>м08-02-395-02</t>
  </si>
  <si>
    <t>Лоток металлический штампованный по установленным конструкциям, ширина лотка до 400 мм</t>
  </si>
  <si>
    <t>т</t>
  </si>
  <si>
    <t>ФЕРм-2001, м08-02-395-02, приказ Минстроя России №1039/пр от 30.12.2016г.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</si>
  <si>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</si>
  <si>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</si>
  <si>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</si>
  <si>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3,1</t>
  </si>
  <si>
    <t>20.2.07.03-0006</t>
  </si>
  <si>
    <t>Лоток кабельный лестничного типа Л-400, ширина 400 мм, длина 2 м</t>
  </si>
  <si>
    <t>шт.</t>
  </si>
  <si>
    <t>ФССЦ-2001, 20.2.07.03-0006, приказ Минстроя России №1039/пр от 30.12.2016г.</t>
  </si>
  <si>
    <t>4</t>
  </si>
  <si>
    <t>м08-02-147-01</t>
  </si>
  <si>
    <t>Кабель до 35 кВ по установленным конструкциям и лоткам с креплением на поворотах и в конце трассы, масса 1 м кабеля до 1 кг</t>
  </si>
  <si>
    <t>100 м</t>
  </si>
  <si>
    <t>ФЕРм-2001, м08-02-147-01, приказ Минстроя России №1039/пр от 30.12.2016г.</t>
  </si>
  <si>
    <t>4,1</t>
  </si>
  <si>
    <t>21.1.06.08-0244</t>
  </si>
  <si>
    <t>Кабель силовой с алюминиевыми жилами с поливинилхлоридной изоляцией в поливинилхлоридной оболочке без защитного покрова АВВГ, напряжением 1,0 кВ, число жил – 1 и сечением 240 мм2 (кабель - материал Заказчика)</t>
  </si>
  <si>
    <t>1000 м</t>
  </si>
  <si>
    <t>ФССЦ-2001, 21.1.06.08-0244, приказ Минстроя России №1039/пр от 30.12.2016г.</t>
  </si>
  <si>
    <t>1000 М</t>
  </si>
  <si>
    <t>5</t>
  </si>
  <si>
    <t>5,1</t>
  </si>
  <si>
    <t>21.1.06.10-0520</t>
  </si>
  <si>
    <t>Кабель силовой с медными жилами с поливинилхлоридной изоляцией и оболочкой, не распространяющий горение марки ВВГнг, напряжением 1,0 кВ, с числом жил - 1 и сечением 70 мм2</t>
  </si>
  <si>
    <t>ФССЦ-2001, 21.1.06.10-0520, приказ Минстроя России №1039/пр от 30.12.2016г.</t>
  </si>
  <si>
    <t>6</t>
  </si>
  <si>
    <t>м08-02-144-05</t>
  </si>
  <si>
    <t>Присоединение к зажимам жил проводов или кабелей сечением до 70 мм2</t>
  </si>
  <si>
    <t>100 ШТ</t>
  </si>
  <si>
    <t>ФЕРм-2001, м08-02-144-05, приказ Минстроя России №1039/пр от 30.12.2016г.</t>
  </si>
  <si>
    <t>6,1</t>
  </si>
  <si>
    <t>20.2.10.04-0010</t>
  </si>
  <si>
    <t>Наконечники кабельные медные луженные ТМЛ-120</t>
  </si>
  <si>
    <t>100 шт.</t>
  </si>
  <si>
    <t>ФССЦ-2001, 20.2.10.04-0010, приказ Минстроя России №1039/пр от 30.12.2016г.</t>
  </si>
  <si>
    <t>7</t>
  </si>
  <si>
    <t>м08-02-200-01</t>
  </si>
  <si>
    <t>Монтаж термоусаживаемой манжеты из трубки для кабеля</t>
  </si>
  <si>
    <t>ШТ</t>
  </si>
  <si>
    <t>ФЕРм-2001, м08-02-200-01, приказ Минстроя России №1039/пр от 30.12.2016г.</t>
  </si>
  <si>
    <t>7,1</t>
  </si>
  <si>
    <t>24.3.05.06-0041</t>
  </si>
  <si>
    <t>Манжета термоусаживаемая</t>
  </si>
  <si>
    <t>ФССЦ-2001, 24.3.05.06-0041, приказ Минстроя России №1039/пр от 30.12.2016г.</t>
  </si>
  <si>
    <t>8</t>
  </si>
  <si>
    <t>м08-02-144-07</t>
  </si>
  <si>
    <t>Присоединение к зажимам жил проводов или кабелей сечением до 240 мм2</t>
  </si>
  <si>
    <t>ФЕРм-2001, м08-02-144-07, приказ Минстроя России №1039/пр от 30.12.2016г.</t>
  </si>
  <si>
    <t>8,1</t>
  </si>
  <si>
    <t>20.2.10.04-0013</t>
  </si>
  <si>
    <t>Наконечники кабельные медные луженные ТМЛ-240</t>
  </si>
  <si>
    <t>ФССЦ-2001, 20.2.10.04-0013, приказ Минстроя России №1039/пр от 30.12.2016г.</t>
  </si>
  <si>
    <t>9</t>
  </si>
  <si>
    <t>м08-02-144-08</t>
  </si>
  <si>
    <t>Присоединение к зажимам жил проводов или кабелей сечением до 400 мм2</t>
  </si>
  <si>
    <t>ФЕРм-2001, м08-02-144-08, приказ Минстроя России №1039/пр от 30.12.2016г.</t>
  </si>
  <si>
    <t>9,1</t>
  </si>
  <si>
    <t>Наконечники кабельные медные луженные ТМЛ-240 (прим. НБ-4-300-100)</t>
  </si>
  <si>
    <t>10</t>
  </si>
  <si>
    <t>м08-02-167-01</t>
  </si>
  <si>
    <t>Муфта соединительная эпоксидная для 3-4-жильного кабеля напряжением до 1кВ, сечение одной жилы до 35 мм2 (прим.)</t>
  </si>
  <si>
    <t>ФЕРм-2001, м08-02-167-01, приказ Минстроя России №1039/пр от 30.12.2016г.</t>
  </si>
  <si>
    <t>10,1</t>
  </si>
  <si>
    <t>КА п. 1</t>
  </si>
  <si>
    <t>Муфта соединительная 4СТп-1-150/240 (Б)</t>
  </si>
  <si>
    <t>[3 585,59 /  7,24] +  3% Трансп +  2% Заг.скл</t>
  </si>
  <si>
    <t>11</t>
  </si>
  <si>
    <t>26-02-022-01</t>
  </si>
  <si>
    <t>Огнезащитное покрытие толщиной слоя 1 мм кабелей и проводов</t>
  </si>
  <si>
    <t>100 м2</t>
  </si>
  <si>
    <t>ФЕР-2001, 26-02-022-01, приказ Минстроя России №1039/пр от 30.12.2016г.</t>
  </si>
  <si>
    <t>Теплоизоляционные работы</t>
  </si>
  <si>
    <t>ФЕР-26</t>
  </si>
  <si>
    <t>11,1</t>
  </si>
  <si>
    <t>14.2.02.07-0004</t>
  </si>
  <si>
    <t>Материал огнезащитный терморасширяющийся «Огракс-М»</t>
  </si>
  <si>
    <t>кг</t>
  </si>
  <si>
    <t>ФССЦ-2001, 14.2.02.07-0004, приказ Минстроя России №1039/пр от 30.12.2016г.</t>
  </si>
  <si>
    <t>12</t>
  </si>
  <si>
    <t>Отсоединение от зажимов жил проводов или кабелей сечением до 240 мм2</t>
  </si>
  <si>
    <t>)*0</t>
  </si>
  <si>
    <t>)*0,7</t>
  </si>
  <si>
    <t>Поправка: МДС 81-37.2004, п.3.2.1.1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</si>
  <si>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</si>
  <si>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</si>
  <si>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</si>
  <si>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</si>
  <si>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</si>
  <si>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</si>
  <si>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</si>
  <si>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</si>
  <si>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</si>
  <si>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</si>
  <si>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</si>
  <si>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</si>
  <si>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</si>
  <si>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</si>
  <si>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</si>
  <si>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</si>
  <si>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</si>
  <si>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</si>
  <si>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</si>
  <si>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</si>
  <si>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</si>
  <si>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</si>
  <si>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</si>
  <si>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</si>
  <si>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</si>
  <si>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</si>
  <si>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</si>
  <si>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</si>
  <si>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</si>
  <si>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</si>
  <si>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</si>
  <si>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</si>
  <si>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</si>
  <si>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</si>
  <si>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</si>
  <si>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</si>
  <si>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</si>
  <si>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</si>
  <si>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</si>
  <si>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</si>
  <si>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</si>
  <si>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</si>
  <si>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</si>
  <si>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</si>
  <si>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</si>
  <si>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</si>
  <si>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</si>
  <si>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</si>
  <si>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</si>
  <si>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</si>
  <si>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</si>
  <si>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</si>
  <si>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Ру 0,4 кВ №2</t>
  </si>
  <si>
    <t>13</t>
  </si>
  <si>
    <t>м08-02-144-06</t>
  </si>
  <si>
    <t>Присоединение к зажимам жил проводов или кабелей сечением до 150 мм2</t>
  </si>
  <si>
    <t>ФЕРм-2001, м08-02-144-06, приказ Минстроя России №1039/пр от 30.12.2016г.</t>
  </si>
  <si>
    <t>13,1</t>
  </si>
  <si>
    <t>20.2.10.04-0009</t>
  </si>
  <si>
    <t>Наконечники кабельные медные луженные ТМЛ-95</t>
  </si>
  <si>
    <t>ФССЦ-2001, 20.2.10.04-0009, приказ Минстроя России №1039/пр от 30.12.2016г.</t>
  </si>
  <si>
    <t>14</t>
  </si>
  <si>
    <t>14,1</t>
  </si>
  <si>
    <t>15</t>
  </si>
  <si>
    <t>м08-02-147-02</t>
  </si>
  <si>
    <t>Кабель до 35 кВ по установленным конструкциям и лоткам с креплением на поворотах и в конце трассы, масса 1 м кабеля до 2 кг</t>
  </si>
  <si>
    <t>ФЕРм-2001, м08-02-147-02, приказ Минстроя России №1039/пр от 30.12.2016г.</t>
  </si>
  <si>
    <t>15,1</t>
  </si>
  <si>
    <t>21.1.06.08-0413</t>
  </si>
  <si>
    <t>Кабель силовой с алюминиевыми жилами с поливинилхлоридной изоляцией и оболочкой, не распространяющий горение, с низким дымо- и газовыделением марки АВВГнг-LS, с числом жил - 4 и сечением 95 мм2</t>
  </si>
  <si>
    <t>ФССЦ-2001, 21.1.06.08-0413, приказ Минстроя России №1039/пр от 30.12.2016г.</t>
  </si>
  <si>
    <t>Итог 1</t>
  </si>
  <si>
    <t>Новая локальная смета</t>
  </si>
  <si>
    <t>Пусконаладочные работы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</si>
  <si>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</si>
  <si>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</si>
  <si>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ФЕРп-2001, п01-11-028-01, приказ Минстроя России №1039/пр от 30.12.2016г.</t>
  </si>
  <si>
    <t>Поправка: Сб.№пнр 1, п.1.1.84.1  Наименование: Для двухпроводной линии</t>
  </si>
  <si>
    <t>Пусконаладочные работы : все сборники, отдел 05 ( диагностика лифтов ) и отдел 06 ( техническое освидетельствование ) сборника мрФЕР-01</t>
  </si>
  <si>
    <t>пФЕРп</t>
  </si>
  <si>
    <t>Поправка: Сб.№пнр 1, п.1.1.84.1</t>
  </si>
  <si>
    <t>п01-11-024-01</t>
  </si>
  <si>
    <t>Фазировка электрической линии или трансформатора с сетью напряжением до 1 кВ</t>
  </si>
  <si>
    <t>ФЕРп-2001, п01-11-024-01, приказ Минстроя России №1039/пр от 30.12.2016г.</t>
  </si>
  <si>
    <t>п01-12-020-01</t>
  </si>
  <si>
    <t>Испытание сборных и соединительных шин напряжением до 11 кВ</t>
  </si>
  <si>
    <t>испытание</t>
  </si>
  <si>
    <t>ФЕРп-2001, п01-12-020-01, приказ Минстроя России №1039/пр от 30.12.2016г.</t>
  </si>
  <si>
    <t>п01-11-013-01</t>
  </si>
  <si>
    <t>Замер полного сопротивления цепи "фаза-нуль"</t>
  </si>
  <si>
    <t>ФЕРп-2001, п01-11-013-01, приказ Минстроя России №1039/пр от 30.12.2016г.</t>
  </si>
  <si>
    <t>РУ 0,4 кВ №2</t>
  </si>
  <si>
    <t>Поправка: Сб.№пнр 1, п.1.1.84.2  Наименование: Для четырехпроводной линии</t>
  </si>
  <si>
    <t>)*1,3</t>
  </si>
  <si>
    <t>Поправка: Сб.№пнр 1, п.1.1.84.2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</si>
  <si>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</si>
  <si>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</si>
  <si>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</si>
  <si>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</si>
  <si>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</si>
  <si>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</si>
  <si>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</si>
  <si>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</si>
  <si>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</si>
  <si>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</si>
  <si>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</si>
  <si>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</si>
  <si>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</si>
  <si>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</si>
  <si>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</si>
  <si>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</si>
  <si>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</si>
  <si>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</si>
  <si>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</si>
  <si>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</si>
  <si>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</si>
  <si>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</si>
  <si>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</si>
  <si>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</si>
  <si>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</si>
  <si>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</si>
  <si>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</si>
  <si>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</si>
  <si>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</si>
  <si>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</si>
  <si>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</si>
  <si>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</si>
  <si>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</si>
  <si>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</si>
  <si>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</si>
  <si>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</si>
  <si>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</si>
  <si>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</si>
  <si>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</si>
  <si>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</si>
  <si>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</si>
  <si>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</si>
  <si>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</si>
  <si>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</si>
  <si>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</si>
  <si>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</si>
  <si>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</si>
  <si>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</si>
  <si>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</si>
  <si>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</si>
  <si>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</si>
  <si>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</si>
  <si>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</si>
  <si>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</si>
  <si>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</si>
  <si>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</si>
  <si>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</si>
  <si>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</si>
  <si>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</si>
  <si>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</si>
  <si>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</si>
  <si>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Текущий уровень цен</t>
  </si>
  <si>
    <t>Сборник индексов</t>
  </si>
  <si>
    <t>Мособлгосэкспертиза к ФЕР 2017</t>
  </si>
  <si>
    <t>_OBSM_</t>
  </si>
  <si>
    <t>1-100-15</t>
  </si>
  <si>
    <t>Рабочий среднего разряда 1.5</t>
  </si>
  <si>
    <t>чел.-ч.</t>
  </si>
  <si>
    <t>1-100-38</t>
  </si>
  <si>
    <t>Рабочий среднего разряда 3.8</t>
  </si>
  <si>
    <t>4-100-00</t>
  </si>
  <si>
    <t>Затраты труда машинистов</t>
  </si>
  <si>
    <t>91.05.05-014</t>
  </si>
  <si>
    <t>ФСЭМ-2001, 91.05.05-014, приказ Минстроя России №1039/пр от 30.12.2016г.</t>
  </si>
  <si>
    <t>Краны на автомобильном ходу, грузоподъемность 10 т</t>
  </si>
  <si>
    <t>маш.-ч</t>
  </si>
  <si>
    <t>91.14.02-001</t>
  </si>
  <si>
    <t>ФСЭМ-2001, 91.14.02-001, приказ Минстроя России №1039/пр от 30.12.2016г.</t>
  </si>
  <si>
    <t>Автомобили бортовые, грузоподъемность до 5 т</t>
  </si>
  <si>
    <t>91.17.04-233</t>
  </si>
  <si>
    <t>ФСЭМ-2001, 91.17.04-233, приказ Минстроя России №1039/пр от 30.12.2016г.</t>
  </si>
  <si>
    <t>Установки для сварки ручной дуговой (постоянного тока)</t>
  </si>
  <si>
    <t>01.7.11.07-0034</t>
  </si>
  <si>
    <t>ФССЦ-2001, 01.7.11.07-0034, приказ Минстроя России №1039/пр от 30.12.2016г.</t>
  </si>
  <si>
    <t>Электроды диаметром 4 мм Э42А</t>
  </si>
  <si>
    <t>01.7.15.03-0042</t>
  </si>
  <si>
    <t>ФССЦ-2001, 01.7.15.03-0042, приказ Минстроя России №1039/пр от 30.12.2016г.</t>
  </si>
  <si>
    <t>Болты с гайками и шайбами строительные</t>
  </si>
  <si>
    <t>999-9950</t>
  </si>
  <si>
    <t>Вспомогательные ненормируемые материалы (2% от ОЗП)</t>
  </si>
  <si>
    <t>РУБ</t>
  </si>
  <si>
    <t>1-100-40</t>
  </si>
  <si>
    <t>Рабочий среднего разряда 4</t>
  </si>
  <si>
    <t>91.06.01-003</t>
  </si>
  <si>
    <t>ФСЭМ-2001, 91.06.01-003, приказ Минстроя России №1039/пр от 30.12.2016г.</t>
  </si>
  <si>
    <t>Домкраты гидравлические, грузоподъемность 63-100 т</t>
  </si>
  <si>
    <t>91.06.03-061</t>
  </si>
  <si>
    <t>ФСЭМ-2001, 91.06.03-061, приказ Минстроя России №1039/пр от 30.12.2016г.</t>
  </si>
  <si>
    <t>Лебедки электрические тяговым усилием до 12,26 кН (1,25 т)</t>
  </si>
  <si>
    <t>01.7.06.07-0001</t>
  </si>
  <si>
    <t>ФССЦ-2001, 01.7.06.07-0001, приказ Минстроя России №1039/пр от 30.12.2016г.</t>
  </si>
  <si>
    <t>Лента К226</t>
  </si>
  <si>
    <t>01.7.15.14-0165</t>
  </si>
  <si>
    <t>ФССЦ-2001, 01.7.15.14-0165, приказ Минстроя России №1039/пр от 30.12.2016г.</t>
  </si>
  <si>
    <t>Шурупы с полукруглой головкой 4x40 мм</t>
  </si>
  <si>
    <t>10.3.02.03-0011</t>
  </si>
  <si>
    <t>ФССЦ-2001, 10.3.02.03-0011, приказ Минстроя России №1039/пр от 30.12.2016г.</t>
  </si>
  <si>
    <t>Припои оловянно-свинцовые бессурьмянистые марки ПОС30</t>
  </si>
  <si>
    <t>14.4.03.03-0002</t>
  </si>
  <si>
    <t>ФССЦ-2001, 14.4.03.03-0002, приказ Минстроя России №1039/пр от 30.12.2016г.</t>
  </si>
  <si>
    <t>Лак битумный БТ-123</t>
  </si>
  <si>
    <t>1-100-35</t>
  </si>
  <si>
    <t>Рабочий среднего разряда 3.5</t>
  </si>
  <si>
    <t>01.3.01.01-0010</t>
  </si>
  <si>
    <t>ФССЦ-2001, 01.3.01.01-0010, приказ Минстроя России №1039/пр от 30.12.2016г.</t>
  </si>
  <si>
    <t>Бензин растворитель</t>
  </si>
  <si>
    <t>01.7.06.12-0005</t>
  </si>
  <si>
    <t>ФССЦ-2001, 01.7.06.12-0005, приказ Минстроя России №1039/пр от 30.12.2016г.</t>
  </si>
  <si>
    <t>Лента клеевая термоспекаемая однослойная КЛ-50</t>
  </si>
  <si>
    <t>01.7.06.12-0007</t>
  </si>
  <si>
    <t>ФССЦ-2001, 01.7.06.12-0007, приказ Минстроя России №1039/пр от 30.12.2016г.</t>
  </si>
  <si>
    <t>Лента покровная термоспекаемая однослойная ПТЛ-40</t>
  </si>
  <si>
    <t>01.3.01.01-0001</t>
  </si>
  <si>
    <t>ФССЦ-2001, 01.3.01.01-0001, приказ Минстроя России №1039/пр от 30.12.2016г.</t>
  </si>
  <si>
    <t>Бензин авиационный Б-70</t>
  </si>
  <si>
    <t>01.3.01.05-0009</t>
  </si>
  <si>
    <t>ФССЦ-2001, 01.3.01.05-0009, приказ Минстроя России №1039/пр от 30.12.2016г.</t>
  </si>
  <si>
    <t>Парафины нефтяные твердые марки Т-1</t>
  </si>
  <si>
    <t>20.2.01.05-0007</t>
  </si>
  <si>
    <t>ФССЦ-2001, 20.2.01.05-0007, приказ Минстроя России №1039/пр от 30.12.2016г.</t>
  </si>
  <si>
    <t>Гильза кабельная медная ГМ 35</t>
  </si>
  <si>
    <t>91.21.01-012</t>
  </si>
  <si>
    <t>ФСЭМ-2001, 91.21.01-012, приказ Минстроя России №1039/пр от 30.12.2016г.</t>
  </si>
  <si>
    <t>Агрегаты окрасочные высокого давления для окраски поверхностей конструкций, мощность 1 кВт</t>
  </si>
  <si>
    <t>01.7.03.01-0001</t>
  </si>
  <si>
    <t>ФССЦ-2001, 01.7.03.01-0001, приказ Минстроя России №1039/пр от 30.12.2016г.</t>
  </si>
  <si>
    <t>Вода</t>
  </si>
  <si>
    <t>01.7.07.08-0003</t>
  </si>
  <si>
    <t>ФССЦ-2001, 01.7.07.08-0003, приказ Минстроя России №1039/пр от 30.12.2016г.</t>
  </si>
  <si>
    <t>Мыло твердое хозяйственное 72%</t>
  </si>
  <si>
    <t>01.7.20.08-0051</t>
  </si>
  <si>
    <t>ФССЦ-2001, 01.7.20.08-0051, приказ Минстроя России №1039/пр от 30.12.2016г.</t>
  </si>
  <si>
    <t>Ветошь</t>
  </si>
  <si>
    <t>2-200-60</t>
  </si>
  <si>
    <t>Электромонтажник-наладчик, разряд VI</t>
  </si>
  <si>
    <t>2-400-30</t>
  </si>
  <si>
    <t>Инженер по наладке и испытаниям, категория III</t>
  </si>
  <si>
    <t>2-200-40</t>
  </si>
  <si>
    <t>Электромонтажник-наладчик, разряд IV</t>
  </si>
  <si>
    <t>14.2.02.03</t>
  </si>
  <si>
    <t>Краска огнезащитная</t>
  </si>
  <si>
    <t>Поправка: МДС 81-37.2004, п.3.2.1.1  Наименование: Для оборудования легковесного, габаритного, поступающего на стройку в собранном виде, при монтаже которого отсутствуют работы по сварке, демонтаж при условии что оборудование подлежит дальнейшему использованию, со снятием с места установки, необходимой (частичной) разборкой и консервированием с целью длительного или кратковременного хранения</t>
  </si>
  <si>
    <t>"СОГЛАСОВАНО"</t>
  </si>
  <si>
    <t>"УТВЕРЖДАЮ"</t>
  </si>
  <si>
    <t>"_____"________________ 2018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</si>
  <si>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</si>
  <si>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</si>
  <si>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</si>
  <si>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</t>
  </si>
  <si>
    <t>текущая</t>
  </si>
  <si>
    <t>цена</t>
  </si>
  <si>
    <t>Сметная стоимость</t>
  </si>
  <si>
    <t>тыс.руб</t>
  </si>
  <si>
    <t>Нормативная трудоемкость</t>
  </si>
  <si>
    <t>чел.час.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</si>
  <si>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</si>
  <si>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</si>
  <si>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</si>
  <si>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</si>
  <si>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</si>
  <si>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</si>
  <si>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единицу измерения, руб.</t>
  </si>
  <si>
    <t>Попра-вочные коэфф., нормы НР и СП</t>
  </si>
  <si>
    <t>Всего затрат в базисном уровне цен, руб.</t>
  </si>
  <si>
    <t>Индексы пересчета, нормы НР и СП</t>
  </si>
  <si>
    <t>ВСЕГО затрат, руб.</t>
  </si>
  <si>
    <t>Составлен(а) в уровне текущих (прогнозных) цен Мособлгосэкспертиза к ФЕР 2017 декабрь 2017 года</t>
  </si>
  <si>
    <t>ЗП</t>
  </si>
  <si>
    <t>%</t>
  </si>
  <si>
    <t>ЗТР</t>
  </si>
  <si>
    <t>чел-ч</t>
  </si>
  <si>
    <t>Всего по позиции</t>
  </si>
  <si>
    <t>ЭМ</t>
  </si>
  <si>
    <t>в т.ч. ЗПМ</t>
  </si>
  <si>
    <t>МР</t>
  </si>
  <si>
    <r>
      <t>Муфта соединительная 4СТп-1-150/240 (Б)</t>
    </r>
    <r>
      <rPr>
        <i/>
        <sz val="10"/>
        <rFont val="Arial"/>
        <family val="2"/>
        <charset val="204"/>
      </rPr>
      <t xml:space="preserve">
Базисная стоимость: 520,31 = [3 585,59 /  7,24] +  3% Трансп +  2% Заг.скл</t>
    </r>
  </si>
  <si>
    <r>
      <t>м08-02-144-07</t>
    </r>
    <r>
      <rPr>
        <i/>
        <sz val="10"/>
        <rFont val="Arial"/>
        <family val="2"/>
        <charset val="204"/>
      </rPr>
      <t xml:space="preserve">
Поправка: МДС 81-37.2004, п.3.2.1.1</t>
    </r>
  </si>
  <si>
    <r>
      <t>Отсоединение от зажимов жил проводов или кабелей сечением до 240 мм2</t>
    </r>
    <r>
      <rPr>
        <i/>
        <sz val="10"/>
        <rFont val="Arial"/>
        <family val="2"/>
        <charset val="204"/>
      </rPr>
      <t xml:space="preserve">
Поправка: МДС 81-37.2004, п.3.2.1.1  Наименование: Для оборудования легковесного, габаритного, поступающего на стройку в собранном виде, при монтаже которого отсутствуют работы по сварке, демонтаж при условии что оборудование подлежит дальнейшему использованию, со снятием с места установки, необходимой (частичной) разборкой и консервированием с целью длительного или кратковременного хранения</t>
    </r>
  </si>
  <si>
    <r>
      <t>п01-11-028-01</t>
    </r>
    <r>
      <rPr>
        <i/>
        <sz val="10"/>
        <rFont val="Arial"/>
        <family val="2"/>
        <charset val="204"/>
      </rPr>
      <t xml:space="preserve">
Поправка: Сб.№пнр 1, п.1.1.84.1</t>
    </r>
  </si>
  <si>
    <r>
  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  </r>
    <r>
      <rPr>
        <i/>
        <sz val="10"/>
        <rFont val="Arial"/>
        <family val="2"/>
        <charset val="204"/>
      </rPr>
      <t xml:space="preserve">
Поправка: Сб.№пнр 1, п.1.1.84.1  Наименование: Для двухпроводной линии</t>
    </r>
  </si>
  <si>
    <r>
      <t>п01-11-028-01</t>
    </r>
    <r>
      <rPr>
        <i/>
        <sz val="10"/>
        <rFont val="Arial"/>
        <family val="2"/>
        <charset val="204"/>
      </rPr>
      <t xml:space="preserve">
Поправка: Сб.№пнр 1, п.1.1.84.2</t>
    </r>
  </si>
  <si>
    <r>
  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  </r>
    <r>
      <rPr>
        <i/>
        <sz val="10"/>
        <rFont val="Arial"/>
        <family val="2"/>
        <charset val="204"/>
      </rPr>
      <t xml:space="preserve">
Поправка: Сб.№пнр 1, п.1.1.84.2  Наименование: Для четырехпроводной линии</t>
    </r>
  </si>
  <si>
    <t>Территория инновационного центра "Сколково"</t>
  </si>
  <si>
    <t>Присоединение РУ 0,4 кВ ТП №5891 к ТП 20/0,4 кВ №16</t>
  </si>
  <si>
    <t>Приложение №1 к Техническому заданию - Ведомость объемов работ</t>
  </si>
  <si>
    <t>Итого по локальной смете без учета материала Заказчика</t>
  </si>
  <si>
    <t>09-01-01</t>
  </si>
  <si>
    <t>НДС-18%</t>
  </si>
  <si>
    <t>Итого с НДС-18%</t>
  </si>
  <si>
    <t>Зимнее удорожание (ГЭСН 81-05-02-2007 табл.4, п.2.6 - III температ. зона) - 1,9%</t>
  </si>
  <si>
    <t>Итого с учетом зимнего удорожания</t>
  </si>
  <si>
    <t>Приложение № 4 к Договору №__________________ от ___________</t>
  </si>
  <si>
    <t>Генеральный директор</t>
  </si>
  <si>
    <t>ООО "ОДПС Сколково"</t>
  </si>
  <si>
    <t>________________/А.С. Савченко/</t>
  </si>
  <si>
    <t>ЛОКАЛЬНЫЙ СМЕТНЫЙ РАСЧЕТ № 1</t>
  </si>
  <si>
    <t>Итого с учетом зимнего удорожания и коэффициента тендерного снижения К=</t>
  </si>
  <si>
    <t xml:space="preserve">Генеральный директор </t>
  </si>
  <si>
    <t>_______________/А.С. Савченко/</t>
  </si>
  <si>
    <t>ЛОКАЛЬНЫЙ СМЕТНЫЙ РАСЧЕТ № 2</t>
  </si>
  <si>
    <t>Итого по локальной смете с учетом коэффициента тендерного снижения К=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</si>
</sst>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mmmm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1" fillId="0" borderId="0" xfId="0" applyFont="1" applyAlignment="1"/>
    <xf numFmtId="0" fontId="10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65" fontId="10" fillId="0" borderId="0" xfId="0" applyNumberFormat="1" applyFont="1"/>
    <xf numFmtId="1" fontId="10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10" fillId="0" borderId="0" xfId="0" quotePrefix="1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164" fontId="15" fillId="0" borderId="0" xfId="0" applyNumberFormat="1" applyFont="1" applyAlignment="1">
      <alignment horizontal="right"/>
    </xf>
    <xf numFmtId="2" fontId="4" fillId="0" borderId="0" xfId="0" applyNumberFormat="1" applyFont="1"/>
    <xf numFmtId="49" fontId="18" fillId="0" borderId="0" xfId="0" applyNumberFormat="1" applyFont="1"/>
    <xf numFmtId="0" fontId="16" fillId="0" borderId="0" xfId="0" applyFont="1" applyAlignment="1">
      <alignment horizontal="left" wrapText="1"/>
    </xf>
    <xf numFmtId="164" fontId="16" fillId="0" borderId="0" xfId="0" applyNumberFormat="1" applyFont="1" applyAlignment="1">
      <alignment horizontal="right"/>
    </xf>
    <xf numFmtId="0" fontId="10" fillId="0" borderId="0" xfId="0" applyFont="1" applyAlignment="1">
      <alignment horizontal="left" wrapText="1"/>
    </xf>
    <xf numFmtId="164" fontId="10" fillId="0" borderId="0" xfId="0" applyNumberFormat="1" applyFont="1" applyAlignment="1">
      <alignment horizontal="right"/>
    </xf>
    <xf numFmtId="0" fontId="9" fillId="0" borderId="2" xfId="0" applyFont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2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/>
    <xf numFmtId="0" fontId="9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3"/>
  <sheetViews>
    <sheetView tabSelected="1" topLeftCell="A259" zoomScaleNormal="100" workbookViewId="0">
      <selection activeCell="L289" sqref="L289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10" width="12.7109375" customWidth="1"/>
    <col min="15" max="36" width="0" hidden="1" customWidth="1"/>
  </cols>
  <sheetData>
    <row r="1" spans="1:10" s="9" customFormat="1" ht="12" x14ac:dyDescent="0.2">
      <c r="J1" s="58" t="s">
        <v>424</v>
      </c>
    </row>
    <row r="2" spans="1:10" s="9" customFormat="1" ht="12" x14ac:dyDescent="0.2"/>
    <row r="3" spans="1:10" s="9" customFormat="1" ht="12" x14ac:dyDescent="0.2"/>
    <row r="4" spans="1:10" ht="14.25" x14ac:dyDescent="0.2">
      <c r="A4" s="10"/>
      <c r="B4" s="10"/>
      <c r="C4" s="10"/>
      <c r="D4" s="10"/>
      <c r="E4" s="10"/>
      <c r="F4" s="10"/>
      <c r="G4" s="10"/>
      <c r="H4" s="10"/>
      <c r="I4" s="10"/>
      <c r="J4" s="11"/>
    </row>
    <row r="5" spans="1:10" ht="16.5" x14ac:dyDescent="0.25">
      <c r="A5" s="12"/>
      <c r="B5" s="57" t="s">
        <v>375</v>
      </c>
      <c r="C5" s="57"/>
      <c r="D5" s="57"/>
      <c r="E5" s="57"/>
      <c r="F5" s="13"/>
      <c r="G5" s="57" t="s">
        <v>376</v>
      </c>
      <c r="H5" s="54"/>
      <c r="I5" s="54"/>
      <c r="J5" s="54"/>
    </row>
    <row r="6" spans="1:10" ht="14.25" x14ac:dyDescent="0.2">
      <c r="A6" s="13"/>
      <c r="B6" s="48"/>
      <c r="C6" s="48"/>
      <c r="D6" s="48"/>
      <c r="E6" s="48"/>
      <c r="F6" s="13"/>
      <c r="G6" s="48" t="s">
        <v>425</v>
      </c>
      <c r="H6" s="54"/>
      <c r="I6" s="54"/>
      <c r="J6" s="54"/>
    </row>
    <row r="7" spans="1:10" ht="14.25" x14ac:dyDescent="0.2">
      <c r="A7" s="15"/>
      <c r="B7" s="15"/>
      <c r="C7" s="16"/>
      <c r="D7" s="16"/>
      <c r="E7" s="16"/>
      <c r="F7" s="13"/>
      <c r="G7" s="17" t="s">
        <v>426</v>
      </c>
      <c r="H7" s="16"/>
      <c r="I7" s="16"/>
      <c r="J7" s="16"/>
    </row>
    <row r="8" spans="1:10" ht="14.25" x14ac:dyDescent="0.2">
      <c r="A8" s="15"/>
      <c r="B8" s="15"/>
      <c r="C8" s="16"/>
      <c r="D8" s="16"/>
      <c r="E8" s="16"/>
      <c r="F8" s="13"/>
      <c r="G8" s="17"/>
      <c r="H8" s="16"/>
      <c r="I8" s="16"/>
      <c r="J8" s="16"/>
    </row>
    <row r="9" spans="1:10" ht="14.25" x14ac:dyDescent="0.2">
      <c r="A9" s="17"/>
      <c r="B9" s="48" t="str">
        <f>CONCATENATE("______________________ ", IF(Source!AL12&lt;&gt;"", Source!AL12, ""))</f>
        <v xml:space="preserve">______________________ </v>
      </c>
      <c r="C9" s="48"/>
      <c r="D9" s="48"/>
      <c r="E9" s="48"/>
      <c r="F9" s="13"/>
      <c r="G9" s="48" t="s">
        <v>427</v>
      </c>
      <c r="H9" s="54"/>
      <c r="I9" s="54"/>
      <c r="J9" s="54"/>
    </row>
    <row r="10" spans="1:10" ht="14.25" x14ac:dyDescent="0.2">
      <c r="A10" s="18"/>
      <c r="B10" s="55" t="s">
        <v>377</v>
      </c>
      <c r="C10" s="55"/>
      <c r="D10" s="55"/>
      <c r="E10" s="55"/>
      <c r="F10" s="13"/>
      <c r="G10" s="55" t="s">
        <v>377</v>
      </c>
      <c r="H10" s="56"/>
      <c r="I10" s="56"/>
      <c r="J10" s="56"/>
    </row>
    <row r="12" spans="1:10" ht="14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1"/>
    </row>
    <row r="13" spans="1:10" ht="15.75" x14ac:dyDescent="0.25">
      <c r="A13" s="49" t="s">
        <v>415</v>
      </c>
      <c r="B13" s="49"/>
      <c r="C13" s="49"/>
      <c r="D13" s="49"/>
      <c r="E13" s="49"/>
      <c r="F13" s="49"/>
      <c r="G13" s="49"/>
      <c r="H13" s="49"/>
      <c r="I13" s="49"/>
      <c r="J13" s="49"/>
    </row>
    <row r="14" spans="1:10" x14ac:dyDescent="0.2">
      <c r="A14" s="46" t="s">
        <v>378</v>
      </c>
      <c r="B14" s="46"/>
      <c r="C14" s="46"/>
      <c r="D14" s="46"/>
      <c r="E14" s="46"/>
      <c r="F14" s="46"/>
      <c r="G14" s="46"/>
      <c r="H14" s="46"/>
      <c r="I14" s="46"/>
      <c r="J14" s="46"/>
    </row>
    <row r="15" spans="1:10" ht="14.25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0" ht="15.75" customHeight="1" x14ac:dyDescent="0.25">
      <c r="A16" s="49" t="s">
        <v>428</v>
      </c>
      <c r="B16" s="49"/>
      <c r="C16" s="49"/>
      <c r="D16" s="49"/>
      <c r="E16" s="49"/>
      <c r="F16" s="49"/>
      <c r="G16" s="49"/>
      <c r="H16" s="49"/>
      <c r="I16" s="49"/>
      <c r="J16" s="49"/>
    </row>
    <row r="17" spans="1:10" x14ac:dyDescent="0.2">
      <c r="A17" s="50" t="s">
        <v>379</v>
      </c>
      <c r="B17" s="50"/>
      <c r="C17" s="50"/>
      <c r="D17" s="50"/>
      <c r="E17" s="50"/>
      <c r="F17" s="50"/>
      <c r="G17" s="50"/>
      <c r="H17" s="50"/>
      <c r="I17" s="50"/>
      <c r="J17" s="50"/>
    </row>
    <row r="18" spans="1:10" ht="14.25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0" ht="18" customHeight="1" x14ac:dyDescent="0.25">
      <c r="A19" s="51" t="s">
        <v>416</v>
      </c>
      <c r="B19" s="51"/>
      <c r="C19" s="51"/>
      <c r="D19" s="51"/>
      <c r="E19" s="51"/>
      <c r="F19" s="51"/>
      <c r="G19" s="51"/>
      <c r="H19" s="51"/>
      <c r="I19" s="51"/>
      <c r="J19" s="51"/>
    </row>
    <row r="20" spans="1:10" x14ac:dyDescent="0.2">
      <c r="A20" s="50" t="s">
        <v>380</v>
      </c>
      <c r="B20" s="53"/>
      <c r="C20" s="53"/>
      <c r="D20" s="53"/>
      <c r="E20" s="53"/>
      <c r="F20" s="53"/>
      <c r="G20" s="53"/>
      <c r="H20" s="53"/>
      <c r="I20" s="53"/>
      <c r="J20" s="53"/>
    </row>
    <row r="21" spans="1:10" ht="14.25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10" ht="14.25" x14ac:dyDescent="0.2">
      <c r="A22" s="44" t="str">
        <f>CONCATENATE( "Основание: ", Source!J20)</f>
        <v>Основание: Приложение №1 к Техническому заданию - Ведомость объемов работ</v>
      </c>
      <c r="B22" s="44"/>
      <c r="C22" s="44"/>
      <c r="D22" s="44"/>
      <c r="E22" s="44"/>
      <c r="F22" s="44"/>
      <c r="G22" s="44"/>
      <c r="H22" s="44"/>
      <c r="I22" s="44"/>
      <c r="J22" s="44"/>
    </row>
    <row r="23" spans="1:10" ht="14.25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spans="1:10" ht="14.25" x14ac:dyDescent="0.2">
      <c r="A24" s="13"/>
      <c r="B24" s="13"/>
      <c r="C24" s="13"/>
      <c r="D24" s="13"/>
      <c r="E24" s="13"/>
      <c r="F24" s="13"/>
      <c r="G24" s="13"/>
      <c r="H24" s="19" t="s">
        <v>381</v>
      </c>
      <c r="I24" s="19" t="s">
        <v>382</v>
      </c>
      <c r="J24" s="13"/>
    </row>
    <row r="25" spans="1:10" ht="14.25" x14ac:dyDescent="0.2">
      <c r="A25" s="13"/>
      <c r="B25" s="13"/>
      <c r="C25" s="13"/>
      <c r="D25" s="13"/>
      <c r="E25" s="13"/>
      <c r="F25" s="13"/>
      <c r="G25" s="13"/>
      <c r="H25" s="19" t="s">
        <v>383</v>
      </c>
      <c r="I25" s="19" t="s">
        <v>383</v>
      </c>
      <c r="J25" s="13"/>
    </row>
    <row r="26" spans="1:10" ht="14.25" x14ac:dyDescent="0.2">
      <c r="A26" s="13"/>
      <c r="B26" s="13"/>
      <c r="C26" s="13"/>
      <c r="D26" s="13"/>
      <c r="E26" s="48" t="s">
        <v>384</v>
      </c>
      <c r="F26" s="48"/>
      <c r="G26" s="48"/>
      <c r="H26" s="20">
        <f>SUM(O33:O172)/1000</f>
        <v>24.307479999999998</v>
      </c>
      <c r="I26" s="20">
        <f>(Source!F148/1000)</f>
        <v>192.00393</v>
      </c>
      <c r="J26" s="13" t="s">
        <v>385</v>
      </c>
    </row>
    <row r="27" spans="1:10" ht="14.25" x14ac:dyDescent="0.2">
      <c r="A27" s="13"/>
      <c r="B27" s="13"/>
      <c r="C27" s="13"/>
      <c r="D27" s="13"/>
      <c r="E27" s="48" t="s">
        <v>386</v>
      </c>
      <c r="F27" s="48"/>
      <c r="G27" s="48"/>
      <c r="H27" s="20">
        <f>I27</f>
        <v>147.75601000000003</v>
      </c>
      <c r="I27" s="20">
        <f>(Source!F143+Source!F144)</f>
        <v>147.75601000000003</v>
      </c>
      <c r="J27" s="13" t="s">
        <v>387</v>
      </c>
    </row>
    <row r="28" spans="1:10" ht="14.25" x14ac:dyDescent="0.2">
      <c r="A28" s="13"/>
      <c r="B28" s="13"/>
      <c r="C28" s="13"/>
      <c r="D28" s="13"/>
      <c r="E28" s="48" t="s">
        <v>388</v>
      </c>
      <c r="F28" s="48"/>
      <c r="G28" s="48"/>
      <c r="H28" s="20">
        <f>SUM(Q33:Q172)/1000</f>
        <v>1.3597099999999998</v>
      </c>
      <c r="I28" s="20">
        <f>(Source!F136+ Source!F135)/1000</f>
        <v>33.611700000000006</v>
      </c>
      <c r="J28" s="13" t="s">
        <v>385</v>
      </c>
    </row>
    <row r="29" spans="1:10" ht="14.25" x14ac:dyDescent="0.2">
      <c r="A29" s="13"/>
      <c r="B29" s="13"/>
      <c r="C29" s="13"/>
      <c r="D29" s="13"/>
      <c r="E29" s="13"/>
      <c r="F29" s="13"/>
      <c r="G29" s="13"/>
      <c r="H29" s="10"/>
      <c r="I29" s="20"/>
      <c r="J29" s="13"/>
    </row>
    <row r="30" spans="1:10" ht="14.25" x14ac:dyDescent="0.2">
      <c r="A30" s="13" t="s">
        <v>399</v>
      </c>
      <c r="B30" s="13"/>
      <c r="C30" s="13"/>
      <c r="D30" s="21"/>
      <c r="E30" s="22"/>
      <c r="F30" s="13"/>
      <c r="G30" s="13"/>
      <c r="H30" s="13"/>
      <c r="I30" s="13"/>
      <c r="J30" s="13"/>
    </row>
    <row r="31" spans="1:10" ht="71.25" x14ac:dyDescent="0.2">
      <c r="A31" s="23" t="s">
        <v>389</v>
      </c>
      <c r="B31" s="23" t="s">
        <v>390</v>
      </c>
      <c r="C31" s="23" t="s">
        <v>391</v>
      </c>
      <c r="D31" s="23" t="s">
        <v>392</v>
      </c>
      <c r="E31" s="23" t="s">
        <v>393</v>
      </c>
      <c r="F31" s="23" t="s">
        <v>394</v>
      </c>
      <c r="G31" s="24" t="s">
        <v>395</v>
      </c>
      <c r="H31" s="23" t="s">
        <v>396</v>
      </c>
      <c r="I31" s="23" t="s">
        <v>397</v>
      </c>
      <c r="J31" s="23" t="s">
        <v>398</v>
      </c>
    </row>
    <row r="32" spans="1:10" ht="14.25" x14ac:dyDescent="0.2">
      <c r="A32" s="23">
        <v>1</v>
      </c>
      <c r="B32" s="23">
        <v>2</v>
      </c>
      <c r="C32" s="23">
        <v>3</v>
      </c>
      <c r="D32" s="23">
        <v>4</v>
      </c>
      <c r="E32" s="23">
        <v>5</v>
      </c>
      <c r="F32" s="23">
        <v>6</v>
      </c>
      <c r="G32" s="23">
        <v>7</v>
      </c>
      <c r="H32" s="23">
        <v>8</v>
      </c>
      <c r="I32" s="23">
        <v>9</v>
      </c>
      <c r="J32" s="23">
        <v>10</v>
      </c>
    </row>
    <row r="34" spans="1:21" ht="16.5" x14ac:dyDescent="0.25">
      <c r="A34" s="47" t="str">
        <f>CONCATENATE("Раздел: ",IF(Source!G24&lt;&gt;"Новый раздел", Source!G24, ""))</f>
        <v>Раздел: РУ 0,4 кВ №1</v>
      </c>
      <c r="B34" s="47"/>
      <c r="C34" s="47"/>
      <c r="D34" s="47"/>
      <c r="E34" s="47"/>
      <c r="F34" s="47"/>
      <c r="G34" s="47"/>
      <c r="H34" s="47"/>
      <c r="I34" s="47"/>
      <c r="J34" s="47"/>
    </row>
    <row r="35" spans="1:21" ht="42.75" x14ac:dyDescent="0.2">
      <c r="A35" s="25" t="str">
        <f>Source!E28</f>
        <v>1</v>
      </c>
      <c r="B35" s="26" t="str">
        <f>Source!F28</f>
        <v>01-02-061-01</v>
      </c>
      <c r="C35" s="26" t="str">
        <f>Source!G28</f>
        <v>Засыпка вручную траншей, пазух котлованов и ям, группа грунтов 1 (засыпка песком)</v>
      </c>
      <c r="D35" s="28" t="str">
        <f>Source!H28</f>
        <v>100 м3</v>
      </c>
      <c r="E35" s="10">
        <f>Source!I28</f>
        <v>7.0000000000000007E-2</v>
      </c>
      <c r="F35" s="20"/>
      <c r="G35" s="29"/>
      <c r="H35" s="20"/>
      <c r="I35" s="29" t="str">
        <f>Source!BO28</f>
        <v>01-02-061-01</v>
      </c>
      <c r="J35" s="20"/>
      <c r="R35">
        <f>ROUND((Source!FX28/100)*((ROUND(Source!AF28*Source!I28, 2)+ROUND(Source!AE28*Source!I28, 2))), 2)</f>
        <v>37.17</v>
      </c>
      <c r="S35">
        <f>Source!X28</f>
        <v>781.01</v>
      </c>
      <c r="T35">
        <f>ROUND((Source!FY28/100)*((ROUND(Source!AF28*Source!I28, 2)+ROUND(Source!AE28*Source!I28, 2))), 2)</f>
        <v>20.91</v>
      </c>
      <c r="U35">
        <f>Source!Y28</f>
        <v>413.48</v>
      </c>
    </row>
    <row r="36" spans="1:21" ht="14.25" x14ac:dyDescent="0.2">
      <c r="A36" s="25"/>
      <c r="B36" s="26"/>
      <c r="C36" s="26" t="s">
        <v>400</v>
      </c>
      <c r="D36" s="28"/>
      <c r="E36" s="10"/>
      <c r="F36" s="20">
        <f>Source!AO28</f>
        <v>663.75</v>
      </c>
      <c r="G36" s="29" t="str">
        <f>Source!DG28</f>
        <v/>
      </c>
      <c r="H36" s="20">
        <f>ROUND(Source!AF28*Source!I28, 2)</f>
        <v>46.46</v>
      </c>
      <c r="I36" s="29">
        <f>IF(Source!BA28&lt;&gt; 0, Source!BA28, 1)</f>
        <v>24.72</v>
      </c>
      <c r="J36" s="20">
        <f>Source!S28</f>
        <v>1148.55</v>
      </c>
      <c r="Q36">
        <f>ROUND(Source!AF28*Source!I28, 2)</f>
        <v>46.46</v>
      </c>
    </row>
    <row r="37" spans="1:21" ht="28.5" x14ac:dyDescent="0.2">
      <c r="A37" s="25" t="str">
        <f>Source!E29</f>
        <v>1,1</v>
      </c>
      <c r="B37" s="26" t="str">
        <f>Source!F29</f>
        <v>02.3.01.02-0015</v>
      </c>
      <c r="C37" s="26" t="str">
        <f>Source!G29</f>
        <v>Песок природный для строительных работ средний</v>
      </c>
      <c r="D37" s="28" t="str">
        <f>Source!H29</f>
        <v>м3</v>
      </c>
      <c r="E37" s="10">
        <f>Source!I29</f>
        <v>7</v>
      </c>
      <c r="F37" s="20">
        <f>Source!AK29</f>
        <v>55.26</v>
      </c>
      <c r="G37" s="30" t="s">
        <v>3</v>
      </c>
      <c r="H37" s="20">
        <f>ROUND(Source!AC29*Source!I29, 2)+ROUND(Source!AD29*Source!I29, 2)+ROUND(Source!AF29*Source!I29, 2)</f>
        <v>386.82</v>
      </c>
      <c r="I37" s="29">
        <f>IF(Source!BC29&lt;&gt; 0, Source!BC29, 1)</f>
        <v>8.26</v>
      </c>
      <c r="J37" s="20">
        <f>Source!O29</f>
        <v>3195.13</v>
      </c>
      <c r="R37">
        <f>ROUND((Source!FX29/100)*((ROUND(Source!AF29*Source!I29, 2)+ROUND(Source!AE29*Source!I29, 2))), 2)</f>
        <v>0</v>
      </c>
      <c r="S37">
        <f>Source!X29</f>
        <v>0</v>
      </c>
      <c r="T37">
        <f>ROUND((Source!FY29/100)*((ROUND(Source!AF29*Source!I29, 2)+ROUND(Source!AE29*Source!I29, 2))), 2)</f>
        <v>0</v>
      </c>
      <c r="U37">
        <f>Source!Y29</f>
        <v>0</v>
      </c>
    </row>
    <row r="38" spans="1:21" ht="14.25" x14ac:dyDescent="0.2">
      <c r="A38" s="25"/>
      <c r="B38" s="26"/>
      <c r="C38" s="26" t="str">
        <f>CONCATENATE("НР от ФОТ [к тек. уровню ", Source!FV28, "]")</f>
        <v>НР от ФОТ [к тек. уровню *0,85]</v>
      </c>
      <c r="D38" s="28" t="s">
        <v>401</v>
      </c>
      <c r="E38" s="10">
        <f>Source!BZ28</f>
        <v>80</v>
      </c>
      <c r="F38" s="20"/>
      <c r="G38" s="29"/>
      <c r="H38" s="20">
        <f>SUM(R35:R37)</f>
        <v>37.17</v>
      </c>
      <c r="I38" s="29">
        <f>Source!AT28</f>
        <v>68</v>
      </c>
      <c r="J38" s="20">
        <f>SUM(S35:S37)</f>
        <v>781.01</v>
      </c>
    </row>
    <row r="39" spans="1:21" ht="14.25" x14ac:dyDescent="0.2">
      <c r="A39" s="25"/>
      <c r="B39" s="26"/>
      <c r="C39" s="26" t="str">
        <f>CONCATENATE("СП от ФОТ [к тек. уровню ", Source!FW28, "]")</f>
        <v>СП от ФОТ [к тек. уровню *0,8]</v>
      </c>
      <c r="D39" s="28" t="s">
        <v>401</v>
      </c>
      <c r="E39" s="10">
        <f>Source!CA28</f>
        <v>45</v>
      </c>
      <c r="F39" s="20"/>
      <c r="G39" s="29"/>
      <c r="H39" s="20">
        <f>SUM(T35:T38)</f>
        <v>20.91</v>
      </c>
      <c r="I39" s="29">
        <f>Source!AU28</f>
        <v>36</v>
      </c>
      <c r="J39" s="20">
        <f>SUM(U35:U38)</f>
        <v>413.48</v>
      </c>
    </row>
    <row r="40" spans="1:21" ht="14.25" x14ac:dyDescent="0.2">
      <c r="A40" s="33"/>
      <c r="B40" s="34"/>
      <c r="C40" s="34" t="s">
        <v>402</v>
      </c>
      <c r="D40" s="35" t="s">
        <v>403</v>
      </c>
      <c r="E40" s="36">
        <f>Source!AQ28</f>
        <v>88.5</v>
      </c>
      <c r="F40" s="37"/>
      <c r="G40" s="38" t="str">
        <f>Source!DI28</f>
        <v/>
      </c>
      <c r="H40" s="37">
        <f>Source!U28</f>
        <v>6.1950000000000003</v>
      </c>
      <c r="I40" s="38"/>
      <c r="J40" s="37"/>
    </row>
    <row r="41" spans="1:21" ht="15" x14ac:dyDescent="0.25">
      <c r="C41" s="31" t="s">
        <v>404</v>
      </c>
      <c r="G41" s="43">
        <f>ROUND(Source!AC28*Source!I28, 2)+ROUND(Source!AF28*Source!I28, 2)+ROUND(Source!AD28*Source!I28, 2)+SUM(H37:H39)</f>
        <v>491.36</v>
      </c>
      <c r="H41" s="43"/>
      <c r="I41" s="43">
        <f>Source!P28+Source!Q28+Source!S28+SUM(J37:J39)</f>
        <v>5538.170000000001</v>
      </c>
      <c r="J41" s="43"/>
      <c r="O41" s="32">
        <f>G41</f>
        <v>491.36</v>
      </c>
      <c r="P41" s="32">
        <f>I41</f>
        <v>5538.170000000001</v>
      </c>
    </row>
    <row r="42" spans="1:21" ht="42.75" x14ac:dyDescent="0.2">
      <c r="A42" s="25" t="str">
        <f>Source!E30</f>
        <v>2</v>
      </c>
      <c r="B42" s="26" t="str">
        <f>Source!F30</f>
        <v>01-02-061-02</v>
      </c>
      <c r="C42" s="26" t="str">
        <f>Source!G30</f>
        <v>Засыпка вручную траншей, пазух котлованов и ям, группа грунтов 2 (засыпка привозным грунтом)</v>
      </c>
      <c r="D42" s="28" t="str">
        <f>Source!H30</f>
        <v>100 м3</v>
      </c>
      <c r="E42" s="10">
        <f>Source!I30</f>
        <v>0.16</v>
      </c>
      <c r="F42" s="20"/>
      <c r="G42" s="29"/>
      <c r="H42" s="20"/>
      <c r="I42" s="29" t="str">
        <f>Source!BO30</f>
        <v>01-02-061-02</v>
      </c>
      <c r="J42" s="20"/>
      <c r="R42">
        <f>ROUND((Source!FX30/100)*((ROUND(Source!AF30*Source!I30, 2)+ROUND(Source!AE30*Source!I30, 2))), 2)</f>
        <v>93.31</v>
      </c>
      <c r="S42">
        <f>Source!X30</f>
        <v>1960.67</v>
      </c>
      <c r="T42">
        <f>ROUND((Source!FY30/100)*((ROUND(Source!AF30*Source!I30, 2)+ROUND(Source!AE30*Source!I30, 2))), 2)</f>
        <v>52.49</v>
      </c>
      <c r="U42">
        <f>Source!Y30</f>
        <v>1038</v>
      </c>
    </row>
    <row r="43" spans="1:21" ht="14.25" x14ac:dyDescent="0.2">
      <c r="A43" s="25"/>
      <c r="B43" s="26"/>
      <c r="C43" s="26" t="s">
        <v>400</v>
      </c>
      <c r="D43" s="28"/>
      <c r="E43" s="10"/>
      <c r="F43" s="20">
        <f>Source!AO30</f>
        <v>729</v>
      </c>
      <c r="G43" s="29" t="str">
        <f>Source!DG30</f>
        <v/>
      </c>
      <c r="H43" s="20">
        <f>ROUND(Source!AF30*Source!I30, 2)</f>
        <v>116.64</v>
      </c>
      <c r="I43" s="29">
        <f>IF(Source!BA30&lt;&gt; 0, Source!BA30, 1)</f>
        <v>24.72</v>
      </c>
      <c r="J43" s="20">
        <f>Source!S30</f>
        <v>2883.34</v>
      </c>
      <c r="Q43">
        <f>ROUND(Source!AF30*Source!I30, 2)</f>
        <v>116.64</v>
      </c>
    </row>
    <row r="44" spans="1:21" ht="28.5" x14ac:dyDescent="0.2">
      <c r="A44" s="25" t="str">
        <f>Source!E31</f>
        <v>2,1</v>
      </c>
      <c r="B44" s="26" t="str">
        <f>Source!F31</f>
        <v>02.1.01.02-0002</v>
      </c>
      <c r="C44" s="26" t="str">
        <f>Source!G31</f>
        <v>Грунт глинистый</v>
      </c>
      <c r="D44" s="28" t="str">
        <f>Source!H31</f>
        <v>м3</v>
      </c>
      <c r="E44" s="10">
        <f>Source!I31</f>
        <v>16</v>
      </c>
      <c r="F44" s="20">
        <f>Source!AK31</f>
        <v>112.7</v>
      </c>
      <c r="G44" s="30" t="s">
        <v>3</v>
      </c>
      <c r="H44" s="20">
        <f>ROUND(Source!AC31*Source!I31, 2)+ROUND(Source!AD31*Source!I31, 2)+ROUND(Source!AF31*Source!I31, 2)</f>
        <v>1803.2</v>
      </c>
      <c r="I44" s="29">
        <f>IF(Source!BC31&lt;&gt; 0, Source!BC31, 1)</f>
        <v>5.81</v>
      </c>
      <c r="J44" s="20">
        <f>Source!O31</f>
        <v>10476.59</v>
      </c>
      <c r="R44">
        <f>ROUND((Source!FX31/100)*((ROUND(Source!AF31*Source!I31, 2)+ROUND(Source!AE31*Source!I31, 2))), 2)</f>
        <v>0</v>
      </c>
      <c r="S44">
        <f>Source!X31</f>
        <v>0</v>
      </c>
      <c r="T44">
        <f>ROUND((Source!FY31/100)*((ROUND(Source!AF31*Source!I31, 2)+ROUND(Source!AE31*Source!I31, 2))), 2)</f>
        <v>0</v>
      </c>
      <c r="U44">
        <f>Source!Y31</f>
        <v>0</v>
      </c>
    </row>
    <row r="45" spans="1:21" ht="14.25" x14ac:dyDescent="0.2">
      <c r="A45" s="25"/>
      <c r="B45" s="26"/>
      <c r="C45" s="26" t="str">
        <f>CONCATENATE("НР от ФОТ [к тек. уровню ", Source!FV30, "]")</f>
        <v>НР от ФОТ [к тек. уровню *0,85]</v>
      </c>
      <c r="D45" s="28" t="s">
        <v>401</v>
      </c>
      <c r="E45" s="10">
        <f>Source!BZ30</f>
        <v>80</v>
      </c>
      <c r="F45" s="20"/>
      <c r="G45" s="29"/>
      <c r="H45" s="20">
        <f>SUM(R42:R44)</f>
        <v>93.31</v>
      </c>
      <c r="I45" s="29">
        <f>Source!AT30</f>
        <v>68</v>
      </c>
      <c r="J45" s="20">
        <f>SUM(S42:S44)</f>
        <v>1960.67</v>
      </c>
    </row>
    <row r="46" spans="1:21" ht="14.25" x14ac:dyDescent="0.2">
      <c r="A46" s="25"/>
      <c r="B46" s="26"/>
      <c r="C46" s="26" t="str">
        <f>CONCATENATE("СП от ФОТ [к тек. уровню ", Source!FW30, "]")</f>
        <v>СП от ФОТ [к тек. уровню *0,8]</v>
      </c>
      <c r="D46" s="28" t="s">
        <v>401</v>
      </c>
      <c r="E46" s="10">
        <f>Source!CA30</f>
        <v>45</v>
      </c>
      <c r="F46" s="20"/>
      <c r="G46" s="29"/>
      <c r="H46" s="20">
        <f>SUM(T42:T45)</f>
        <v>52.49</v>
      </c>
      <c r="I46" s="29">
        <f>Source!AU30</f>
        <v>36</v>
      </c>
      <c r="J46" s="20">
        <f>SUM(U42:U45)</f>
        <v>1038</v>
      </c>
    </row>
    <row r="47" spans="1:21" ht="14.25" x14ac:dyDescent="0.2">
      <c r="A47" s="33"/>
      <c r="B47" s="34"/>
      <c r="C47" s="34" t="s">
        <v>402</v>
      </c>
      <c r="D47" s="35" t="s">
        <v>403</v>
      </c>
      <c r="E47" s="36">
        <f>Source!AQ30</f>
        <v>97.2</v>
      </c>
      <c r="F47" s="37"/>
      <c r="G47" s="38" t="str">
        <f>Source!DI30</f>
        <v/>
      </c>
      <c r="H47" s="37">
        <f>Source!U30</f>
        <v>15.552000000000001</v>
      </c>
      <c r="I47" s="38"/>
      <c r="J47" s="37"/>
    </row>
    <row r="48" spans="1:21" ht="15" x14ac:dyDescent="0.25">
      <c r="C48" s="31" t="s">
        <v>404</v>
      </c>
      <c r="G48" s="43">
        <f>ROUND(Source!AC30*Source!I30, 2)+ROUND(Source!AF30*Source!I30, 2)+ROUND(Source!AD30*Source!I30, 2)+SUM(H44:H46)</f>
        <v>2065.64</v>
      </c>
      <c r="H48" s="43"/>
      <c r="I48" s="43">
        <f>Source!P30+Source!Q30+Source!S30+SUM(J44:J46)</f>
        <v>16358.6</v>
      </c>
      <c r="J48" s="43"/>
      <c r="O48" s="32">
        <f>G48</f>
        <v>2065.64</v>
      </c>
      <c r="P48" s="32">
        <f>I48</f>
        <v>16358.6</v>
      </c>
    </row>
    <row r="49" spans="1:21" ht="42.75" x14ac:dyDescent="0.2">
      <c r="A49" s="25" t="str">
        <f>Source!E32</f>
        <v>3</v>
      </c>
      <c r="B49" s="26" t="str">
        <f>Source!F32</f>
        <v>м08-02-395-02</v>
      </c>
      <c r="C49" s="26" t="str">
        <f>Source!G32</f>
        <v>Лоток металлический штампованный по установленным конструкциям, ширина лотка до 400 мм</v>
      </c>
      <c r="D49" s="28" t="str">
        <f>Source!H32</f>
        <v>т</v>
      </c>
      <c r="E49" s="10">
        <f>Source!I32</f>
        <v>2.2499999999999999E-2</v>
      </c>
      <c r="F49" s="20"/>
      <c r="G49" s="29"/>
      <c r="H49" s="20"/>
      <c r="I49" s="29" t="str">
        <f>Source!BO32</f>
        <v>м08-02-395-02</v>
      </c>
      <c r="J49" s="20"/>
      <c r="R49">
        <f>ROUND((Source!FX32/100)*((ROUND(Source!AF32*Source!I32, 2)+ROUND(Source!AE32*Source!I32, 2))), 2)</f>
        <v>10.01</v>
      </c>
      <c r="S49">
        <f>Source!X32</f>
        <v>210.97</v>
      </c>
      <c r="T49">
        <f>ROUND((Source!FY32/100)*((ROUND(Source!AF32*Source!I32, 2)+ROUND(Source!AE32*Source!I32, 2))), 2)</f>
        <v>6.85</v>
      </c>
      <c r="U49">
        <f>Source!Y32</f>
        <v>135.44</v>
      </c>
    </row>
    <row r="50" spans="1:21" ht="14.25" x14ac:dyDescent="0.2">
      <c r="A50" s="25"/>
      <c r="B50" s="26"/>
      <c r="C50" s="26" t="s">
        <v>400</v>
      </c>
      <c r="D50" s="28"/>
      <c r="E50" s="10"/>
      <c r="F50" s="20">
        <f>Source!AO32</f>
        <v>436.91</v>
      </c>
      <c r="G50" s="29" t="str">
        <f>Source!DG32</f>
        <v/>
      </c>
      <c r="H50" s="20">
        <f>ROUND(Source!AF32*Source!I32, 2)</f>
        <v>9.83</v>
      </c>
      <c r="I50" s="29">
        <f>IF(Source!BA32&lt;&gt; 0, Source!BA32, 1)</f>
        <v>24.72</v>
      </c>
      <c r="J50" s="20">
        <f>Source!S32</f>
        <v>243.01</v>
      </c>
      <c r="Q50">
        <f>ROUND(Source!AF32*Source!I32, 2)</f>
        <v>9.83</v>
      </c>
    </row>
    <row r="51" spans="1:21" ht="14.25" x14ac:dyDescent="0.2">
      <c r="A51" s="25"/>
      <c r="B51" s="26"/>
      <c r="C51" s="26" t="s">
        <v>405</v>
      </c>
      <c r="D51" s="28"/>
      <c r="E51" s="10"/>
      <c r="F51" s="20">
        <f>Source!AM32</f>
        <v>290.82</v>
      </c>
      <c r="G51" s="29" t="str">
        <f>Source!DE32</f>
        <v/>
      </c>
      <c r="H51" s="20">
        <f>ROUND(Source!AD32*Source!I32, 2)</f>
        <v>6.54</v>
      </c>
      <c r="I51" s="29">
        <f>IF(Source!BB32&lt;&gt; 0, Source!BB32, 1)</f>
        <v>8.49</v>
      </c>
      <c r="J51" s="20">
        <f>Source!Q32</f>
        <v>55.55</v>
      </c>
    </row>
    <row r="52" spans="1:21" ht="14.25" x14ac:dyDescent="0.2">
      <c r="A52" s="25"/>
      <c r="B52" s="26"/>
      <c r="C52" s="26" t="s">
        <v>406</v>
      </c>
      <c r="D52" s="28"/>
      <c r="E52" s="10"/>
      <c r="F52" s="20">
        <f>Source!AN32</f>
        <v>31.38</v>
      </c>
      <c r="G52" s="29" t="str">
        <f>Source!DF32</f>
        <v/>
      </c>
      <c r="H52" s="39">
        <f>ROUND(Source!AE32*Source!I32, 2)</f>
        <v>0.71</v>
      </c>
      <c r="I52" s="29">
        <f>IF(Source!BS32&lt;&gt; 0, Source!BS32, 1)</f>
        <v>24.72</v>
      </c>
      <c r="J52" s="39">
        <f>Source!R32</f>
        <v>17.45</v>
      </c>
      <c r="Q52">
        <f>ROUND(Source!AE32*Source!I32, 2)</f>
        <v>0.71</v>
      </c>
    </row>
    <row r="53" spans="1:21" ht="14.25" x14ac:dyDescent="0.2">
      <c r="A53" s="25"/>
      <c r="B53" s="26"/>
      <c r="C53" s="26" t="s">
        <v>407</v>
      </c>
      <c r="D53" s="28"/>
      <c r="E53" s="10"/>
      <c r="F53" s="20">
        <f>Source!AL32</f>
        <v>52.95</v>
      </c>
      <c r="G53" s="29" t="str">
        <f>Source!DD32</f>
        <v/>
      </c>
      <c r="H53" s="20">
        <f>ROUND(Source!AC32*Source!I32, 2)</f>
        <v>1.19</v>
      </c>
      <c r="I53" s="29">
        <f>IF(Source!BC32&lt;&gt; 0, Source!BC32, 1)</f>
        <v>10.62</v>
      </c>
      <c r="J53" s="20">
        <f>Source!P32</f>
        <v>12.65</v>
      </c>
    </row>
    <row r="54" spans="1:21" ht="28.5" x14ac:dyDescent="0.2">
      <c r="A54" s="25" t="str">
        <f>Source!E33</f>
        <v>3,1</v>
      </c>
      <c r="B54" s="26" t="str">
        <f>Source!F33</f>
        <v>20.2.07.03-0006</v>
      </c>
      <c r="C54" s="26" t="str">
        <f>Source!G33</f>
        <v>Лоток кабельный лестничного типа Л-400, ширина 400 мм, длина 2 м</v>
      </c>
      <c r="D54" s="28" t="str">
        <f>Source!H33</f>
        <v>шт.</v>
      </c>
      <c r="E54" s="10">
        <f>Source!I33</f>
        <v>4.5</v>
      </c>
      <c r="F54" s="20">
        <f>Source!AK33</f>
        <v>88.45</v>
      </c>
      <c r="G54" s="30" t="s">
        <v>3</v>
      </c>
      <c r="H54" s="20">
        <f>ROUND(Source!AC33*Source!I33, 2)+ROUND(Source!AD33*Source!I33, 2)+ROUND(Source!AF33*Source!I33, 2)</f>
        <v>398.03</v>
      </c>
      <c r="I54" s="29">
        <f>IF(Source!BC33&lt;&gt; 0, Source!BC33, 1)</f>
        <v>5.96</v>
      </c>
      <c r="J54" s="20">
        <f>Source!O33</f>
        <v>2372.23</v>
      </c>
      <c r="R54">
        <f>ROUND((Source!FX33/100)*((ROUND(Source!AF33*Source!I33, 2)+ROUND(Source!AE33*Source!I33, 2))), 2)</f>
        <v>0</v>
      </c>
      <c r="S54">
        <f>Source!X33</f>
        <v>0</v>
      </c>
      <c r="T54">
        <f>ROUND((Source!FY33/100)*((ROUND(Source!AF33*Source!I33, 2)+ROUND(Source!AE33*Source!I33, 2))), 2)</f>
        <v>0</v>
      </c>
      <c r="U54">
        <f>Source!Y33</f>
        <v>0</v>
      </c>
    </row>
    <row r="55" spans="1:21" ht="14.25" x14ac:dyDescent="0.2">
      <c r="A55" s="25"/>
      <c r="B55" s="26"/>
      <c r="C55" s="26" t="str">
        <f>CONCATENATE("НР от ФОТ [к тек. уровню ", Source!FV32, "]")</f>
        <v>НР от ФОТ [к тек. уровню *0,85]</v>
      </c>
      <c r="D55" s="28" t="s">
        <v>401</v>
      </c>
      <c r="E55" s="10">
        <f>Source!BZ32</f>
        <v>95</v>
      </c>
      <c r="F55" s="20"/>
      <c r="G55" s="29"/>
      <c r="H55" s="20">
        <f>SUM(R49:R54)</f>
        <v>10.01</v>
      </c>
      <c r="I55" s="29">
        <f>Source!AT32</f>
        <v>81</v>
      </c>
      <c r="J55" s="20">
        <f>SUM(S49:S54)</f>
        <v>210.97</v>
      </c>
    </row>
    <row r="56" spans="1:21" ht="14.25" x14ac:dyDescent="0.2">
      <c r="A56" s="25"/>
      <c r="B56" s="26"/>
      <c r="C56" s="26" t="str">
        <f>CONCATENATE("СП от ФОТ [к тек. уровню ", Source!FW32, "]")</f>
        <v>СП от ФОТ [к тек. уровню *0,8]</v>
      </c>
      <c r="D56" s="28" t="s">
        <v>401</v>
      </c>
      <c r="E56" s="10">
        <f>Source!CA32</f>
        <v>65</v>
      </c>
      <c r="F56" s="20"/>
      <c r="G56" s="29"/>
      <c r="H56" s="20">
        <f>SUM(T49:T55)</f>
        <v>6.85</v>
      </c>
      <c r="I56" s="29">
        <f>Source!AU32</f>
        <v>52</v>
      </c>
      <c r="J56" s="20">
        <f>SUM(U49:U55)</f>
        <v>135.44</v>
      </c>
    </row>
    <row r="57" spans="1:21" ht="14.25" x14ac:dyDescent="0.2">
      <c r="A57" s="33"/>
      <c r="B57" s="34"/>
      <c r="C57" s="34" t="s">
        <v>402</v>
      </c>
      <c r="D57" s="35" t="s">
        <v>403</v>
      </c>
      <c r="E57" s="36">
        <f>Source!AQ32</f>
        <v>46.48</v>
      </c>
      <c r="F57" s="37"/>
      <c r="G57" s="38" t="str">
        <f>Source!DI32</f>
        <v/>
      </c>
      <c r="H57" s="37">
        <f>Source!U32</f>
        <v>1.0457999999999998</v>
      </c>
      <c r="I57" s="38"/>
      <c r="J57" s="37"/>
    </row>
    <row r="58" spans="1:21" ht="15" x14ac:dyDescent="0.25">
      <c r="C58" s="31" t="s">
        <v>404</v>
      </c>
      <c r="G58" s="43">
        <f>ROUND(Source!AC32*Source!I32, 2)+ROUND(Source!AF32*Source!I32, 2)+ROUND(Source!AD32*Source!I32, 2)+SUM(H54:H56)</f>
        <v>432.45</v>
      </c>
      <c r="H58" s="43"/>
      <c r="I58" s="43">
        <f>Source!P32+Source!Q32+Source!S32+SUM(J54:J56)</f>
        <v>3029.85</v>
      </c>
      <c r="J58" s="43"/>
      <c r="O58" s="32">
        <f>G58</f>
        <v>432.45</v>
      </c>
      <c r="P58" s="32">
        <f>I58</f>
        <v>3029.85</v>
      </c>
    </row>
    <row r="59" spans="1:21" ht="57" x14ac:dyDescent="0.2">
      <c r="A59" s="25" t="str">
        <f>Source!E34</f>
        <v>4</v>
      </c>
      <c r="B59" s="26" t="str">
        <f>Source!F34</f>
        <v>м08-02-147-01</v>
      </c>
      <c r="C59" s="26" t="str">
        <f>Source!G34</f>
        <v>Кабель до 35 кВ по установленным конструкциям и лоткам с креплением на поворотах и в конце трассы, масса 1 м кабеля до 1 кг</v>
      </c>
      <c r="D59" s="28" t="str">
        <f>Source!H34</f>
        <v>100 м</v>
      </c>
      <c r="E59" s="10">
        <f>Source!I34</f>
        <v>0.48</v>
      </c>
      <c r="F59" s="20"/>
      <c r="G59" s="29"/>
      <c r="H59" s="20"/>
      <c r="I59" s="29" t="str">
        <f>Source!BO34</f>
        <v>м08-02-147-01</v>
      </c>
      <c r="J59" s="20"/>
      <c r="R59">
        <f>ROUND((Source!FX34/100)*((ROUND(Source!AF34*Source!I34, 2)+ROUND(Source!AE34*Source!I34, 2))), 2)</f>
        <v>43.22</v>
      </c>
      <c r="S59">
        <f>Source!X34</f>
        <v>910.85</v>
      </c>
      <c r="T59">
        <f>ROUND((Source!FY34/100)*((ROUND(Source!AF34*Source!I34, 2)+ROUND(Source!AE34*Source!I34, 2))), 2)</f>
        <v>29.57</v>
      </c>
      <c r="U59">
        <f>Source!Y34</f>
        <v>584.75</v>
      </c>
    </row>
    <row r="60" spans="1:21" ht="14.25" x14ac:dyDescent="0.2">
      <c r="A60" s="25"/>
      <c r="B60" s="26"/>
      <c r="C60" s="26" t="s">
        <v>400</v>
      </c>
      <c r="D60" s="28"/>
      <c r="E60" s="10"/>
      <c r="F60" s="20">
        <f>Source!AO34</f>
        <v>89.75</v>
      </c>
      <c r="G60" s="29" t="str">
        <f>Source!DG34</f>
        <v/>
      </c>
      <c r="H60" s="20">
        <f>ROUND(Source!AF34*Source!I34, 2)</f>
        <v>43.08</v>
      </c>
      <c r="I60" s="29">
        <f>IF(Source!BA34&lt;&gt; 0, Source!BA34, 1)</f>
        <v>24.72</v>
      </c>
      <c r="J60" s="20">
        <f>Source!S34</f>
        <v>1064.94</v>
      </c>
      <c r="Q60">
        <f>ROUND(Source!AF34*Source!I34, 2)</f>
        <v>43.08</v>
      </c>
    </row>
    <row r="61" spans="1:21" ht="14.25" x14ac:dyDescent="0.2">
      <c r="A61" s="25"/>
      <c r="B61" s="26"/>
      <c r="C61" s="26" t="s">
        <v>405</v>
      </c>
      <c r="D61" s="28"/>
      <c r="E61" s="10"/>
      <c r="F61" s="20">
        <f>Source!AM34</f>
        <v>44.74</v>
      </c>
      <c r="G61" s="29" t="str">
        <f>Source!DE34</f>
        <v/>
      </c>
      <c r="H61" s="20">
        <f>ROUND(Source!AD34*Source!I34, 2)</f>
        <v>21.48</v>
      </c>
      <c r="I61" s="29">
        <f>IF(Source!BB34&lt;&gt; 0, Source!BB34, 1)</f>
        <v>9.2899999999999991</v>
      </c>
      <c r="J61" s="20">
        <f>Source!Q34</f>
        <v>199.5</v>
      </c>
    </row>
    <row r="62" spans="1:21" ht="14.25" x14ac:dyDescent="0.2">
      <c r="A62" s="25"/>
      <c r="B62" s="26"/>
      <c r="C62" s="26" t="s">
        <v>406</v>
      </c>
      <c r="D62" s="28"/>
      <c r="E62" s="10"/>
      <c r="F62" s="20">
        <f>Source!AN34</f>
        <v>5.0199999999999996</v>
      </c>
      <c r="G62" s="29" t="str">
        <f>Source!DF34</f>
        <v/>
      </c>
      <c r="H62" s="39">
        <f>ROUND(Source!AE34*Source!I34, 2)</f>
        <v>2.41</v>
      </c>
      <c r="I62" s="29">
        <f>IF(Source!BS34&lt;&gt; 0, Source!BS34, 1)</f>
        <v>24.72</v>
      </c>
      <c r="J62" s="39">
        <f>Source!R34</f>
        <v>59.57</v>
      </c>
      <c r="Q62">
        <f>ROUND(Source!AE34*Source!I34, 2)</f>
        <v>2.41</v>
      </c>
    </row>
    <row r="63" spans="1:21" ht="14.25" x14ac:dyDescent="0.2">
      <c r="A63" s="25"/>
      <c r="B63" s="26"/>
      <c r="C63" s="26" t="s">
        <v>407</v>
      </c>
      <c r="D63" s="28"/>
      <c r="E63" s="10"/>
      <c r="F63" s="20">
        <f>Source!AL34</f>
        <v>29.44</v>
      </c>
      <c r="G63" s="29" t="str">
        <f>Source!DD34</f>
        <v/>
      </c>
      <c r="H63" s="20">
        <f>ROUND(Source!AC34*Source!I34, 2)</f>
        <v>14.13</v>
      </c>
      <c r="I63" s="29">
        <f>IF(Source!BC34&lt;&gt; 0, Source!BC34, 1)</f>
        <v>9.43</v>
      </c>
      <c r="J63" s="20">
        <f>Source!P34</f>
        <v>133.26</v>
      </c>
    </row>
    <row r="64" spans="1:21" ht="99.75" x14ac:dyDescent="0.2">
      <c r="A64" s="25" t="str">
        <f>Source!E35</f>
        <v>4,1</v>
      </c>
      <c r="B64" s="26" t="str">
        <f>Source!F35</f>
        <v>21.1.06.08-0244</v>
      </c>
      <c r="C64" s="26" t="str">
        <f>Source!G35</f>
        <v>Кабель силовой с алюминиевыми жилами с поливинилхлоридной изоляцией в поливинилхлоридной оболочке без защитного покрова АВВГ, напряжением 1,0 кВ, число жил – 1 и сечением 240 мм2 (кабель - материал Заказчика)</v>
      </c>
      <c r="D64" s="28" t="str">
        <f>Source!H35</f>
        <v>1000 м</v>
      </c>
      <c r="E64" s="10">
        <f>Source!I35</f>
        <v>4.8959999999999997E-2</v>
      </c>
      <c r="F64" s="20">
        <f>Source!AK35</f>
        <v>41759.15</v>
      </c>
      <c r="G64" s="30" t="s">
        <v>3</v>
      </c>
      <c r="H64" s="20">
        <f>ROUND(Source!AC35*Source!I35, 2)+ROUND(Source!AD35*Source!I35, 2)+ROUND(Source!AF35*Source!I35, 2)</f>
        <v>2044.53</v>
      </c>
      <c r="I64" s="29">
        <f>IF(Source!BC35&lt;&gt; 0, Source!BC35, 1)</f>
        <v>4.2699999999999996</v>
      </c>
      <c r="J64" s="20">
        <f>Source!O35</f>
        <v>8730.1299999999992</v>
      </c>
      <c r="R64">
        <f>ROUND((Source!FX35/100)*((ROUND(Source!AF35*Source!I35, 2)+ROUND(Source!AE35*Source!I35, 2))), 2)</f>
        <v>0</v>
      </c>
      <c r="S64">
        <f>Source!X35</f>
        <v>0</v>
      </c>
      <c r="T64">
        <f>ROUND((Source!FY35/100)*((ROUND(Source!AF35*Source!I35, 2)+ROUND(Source!AE35*Source!I35, 2))), 2)</f>
        <v>0</v>
      </c>
      <c r="U64">
        <f>Source!Y35</f>
        <v>0</v>
      </c>
    </row>
    <row r="65" spans="1:21" ht="14.25" x14ac:dyDescent="0.2">
      <c r="A65" s="25"/>
      <c r="B65" s="26"/>
      <c r="C65" s="26" t="str">
        <f>CONCATENATE("НР от ФОТ [к тек. уровню ", Source!FV34, "]")</f>
        <v>НР от ФОТ [к тек. уровню *0,85]</v>
      </c>
      <c r="D65" s="28" t="s">
        <v>401</v>
      </c>
      <c r="E65" s="10">
        <f>Source!BZ34</f>
        <v>95</v>
      </c>
      <c r="F65" s="20"/>
      <c r="G65" s="29"/>
      <c r="H65" s="20">
        <f>SUM(R59:R64)</f>
        <v>43.22</v>
      </c>
      <c r="I65" s="29">
        <f>Source!AT34</f>
        <v>81</v>
      </c>
      <c r="J65" s="20">
        <f>SUM(S59:S64)</f>
        <v>910.85</v>
      </c>
    </row>
    <row r="66" spans="1:21" ht="14.25" x14ac:dyDescent="0.2">
      <c r="A66" s="25"/>
      <c r="B66" s="26"/>
      <c r="C66" s="26" t="str">
        <f>CONCATENATE("СП от ФОТ [к тек. уровню ", Source!FW34, "]")</f>
        <v>СП от ФОТ [к тек. уровню *0,8]</v>
      </c>
      <c r="D66" s="28" t="s">
        <v>401</v>
      </c>
      <c r="E66" s="10">
        <f>Source!CA34</f>
        <v>65</v>
      </c>
      <c r="F66" s="20"/>
      <c r="G66" s="29"/>
      <c r="H66" s="20">
        <f>SUM(T59:T65)</f>
        <v>29.57</v>
      </c>
      <c r="I66" s="29">
        <f>Source!AU34</f>
        <v>52</v>
      </c>
      <c r="J66" s="20">
        <f>SUM(U59:U65)</f>
        <v>584.75</v>
      </c>
    </row>
    <row r="67" spans="1:21" ht="14.25" x14ac:dyDescent="0.2">
      <c r="A67" s="33"/>
      <c r="B67" s="34"/>
      <c r="C67" s="34" t="s">
        <v>402</v>
      </c>
      <c r="D67" s="35" t="s">
        <v>403</v>
      </c>
      <c r="E67" s="36">
        <f>Source!AQ34</f>
        <v>9.33</v>
      </c>
      <c r="F67" s="37"/>
      <c r="G67" s="38" t="str">
        <f>Source!DI34</f>
        <v/>
      </c>
      <c r="H67" s="37">
        <f>Source!U34</f>
        <v>4.4783999999999997</v>
      </c>
      <c r="I67" s="38"/>
      <c r="J67" s="37"/>
    </row>
    <row r="68" spans="1:21" ht="15" x14ac:dyDescent="0.25">
      <c r="C68" s="31" t="s">
        <v>404</v>
      </c>
      <c r="G68" s="43">
        <f>ROUND(Source!AC34*Source!I34, 2)+ROUND(Source!AF34*Source!I34, 2)+ROUND(Source!AD34*Source!I34, 2)+SUM(H64:H66)</f>
        <v>2196.0100000000002</v>
      </c>
      <c r="H68" s="43"/>
      <c r="I68" s="43">
        <f>Source!P34+Source!Q34+Source!S34+SUM(J64:J66)</f>
        <v>11623.43</v>
      </c>
      <c r="J68" s="43"/>
      <c r="O68" s="32">
        <f>G68</f>
        <v>2196.0100000000002</v>
      </c>
      <c r="P68" s="32">
        <f>I68</f>
        <v>11623.43</v>
      </c>
    </row>
    <row r="69" spans="1:21" ht="57" x14ac:dyDescent="0.2">
      <c r="A69" s="25" t="str">
        <f>Source!E36</f>
        <v>5</v>
      </c>
      <c r="B69" s="26" t="str">
        <f>Source!F36</f>
        <v>м08-02-147-01</v>
      </c>
      <c r="C69" s="26" t="str">
        <f>Source!G36</f>
        <v>Кабель до 35 кВ по установленным конструкциям и лоткам с креплением на поворотах и в конце трассы, масса 1 м кабеля до 1 кг</v>
      </c>
      <c r="D69" s="28" t="str">
        <f>Source!H36</f>
        <v>100 м</v>
      </c>
      <c r="E69" s="10">
        <f>Source!I36</f>
        <v>0.5</v>
      </c>
      <c r="F69" s="20"/>
      <c r="G69" s="29"/>
      <c r="H69" s="20"/>
      <c r="I69" s="29" t="str">
        <f>Source!BO36</f>
        <v>м08-02-147-01</v>
      </c>
      <c r="J69" s="20"/>
      <c r="R69">
        <f>ROUND((Source!FX36/100)*((ROUND(Source!AF36*Source!I36, 2)+ROUND(Source!AE36*Source!I36, 2))), 2)</f>
        <v>45.02</v>
      </c>
      <c r="S69">
        <f>Source!X36</f>
        <v>948.8</v>
      </c>
      <c r="T69">
        <f>ROUND((Source!FY36/100)*((ROUND(Source!AF36*Source!I36, 2)+ROUND(Source!AE36*Source!I36, 2))), 2)</f>
        <v>30.8</v>
      </c>
      <c r="U69">
        <f>Source!Y36</f>
        <v>609.11</v>
      </c>
    </row>
    <row r="70" spans="1:21" ht="14.25" x14ac:dyDescent="0.2">
      <c r="A70" s="25"/>
      <c r="B70" s="26"/>
      <c r="C70" s="26" t="s">
        <v>400</v>
      </c>
      <c r="D70" s="28"/>
      <c r="E70" s="10"/>
      <c r="F70" s="20">
        <f>Source!AO36</f>
        <v>89.75</v>
      </c>
      <c r="G70" s="29" t="str">
        <f>Source!DG36</f>
        <v/>
      </c>
      <c r="H70" s="20">
        <f>ROUND(Source!AF36*Source!I36, 2)</f>
        <v>44.88</v>
      </c>
      <c r="I70" s="29">
        <f>IF(Source!BA36&lt;&gt; 0, Source!BA36, 1)</f>
        <v>24.72</v>
      </c>
      <c r="J70" s="20">
        <f>Source!S36</f>
        <v>1109.31</v>
      </c>
      <c r="Q70">
        <f>ROUND(Source!AF36*Source!I36, 2)</f>
        <v>44.88</v>
      </c>
    </row>
    <row r="71" spans="1:21" ht="14.25" x14ac:dyDescent="0.2">
      <c r="A71" s="25"/>
      <c r="B71" s="26"/>
      <c r="C71" s="26" t="s">
        <v>405</v>
      </c>
      <c r="D71" s="28"/>
      <c r="E71" s="10"/>
      <c r="F71" s="20">
        <f>Source!AM36</f>
        <v>44.74</v>
      </c>
      <c r="G71" s="29" t="str">
        <f>Source!DE36</f>
        <v/>
      </c>
      <c r="H71" s="20">
        <f>ROUND(Source!AD36*Source!I36, 2)</f>
        <v>22.37</v>
      </c>
      <c r="I71" s="29">
        <f>IF(Source!BB36&lt;&gt; 0, Source!BB36, 1)</f>
        <v>9.2899999999999991</v>
      </c>
      <c r="J71" s="20">
        <f>Source!Q36</f>
        <v>207.82</v>
      </c>
    </row>
    <row r="72" spans="1:21" ht="14.25" x14ac:dyDescent="0.2">
      <c r="A72" s="25"/>
      <c r="B72" s="26"/>
      <c r="C72" s="26" t="s">
        <v>406</v>
      </c>
      <c r="D72" s="28"/>
      <c r="E72" s="10"/>
      <c r="F72" s="20">
        <f>Source!AN36</f>
        <v>5.0199999999999996</v>
      </c>
      <c r="G72" s="29" t="str">
        <f>Source!DF36</f>
        <v/>
      </c>
      <c r="H72" s="39">
        <f>ROUND(Source!AE36*Source!I36, 2)</f>
        <v>2.5099999999999998</v>
      </c>
      <c r="I72" s="29">
        <f>IF(Source!BS36&lt;&gt; 0, Source!BS36, 1)</f>
        <v>24.72</v>
      </c>
      <c r="J72" s="39">
        <f>Source!R36</f>
        <v>62.05</v>
      </c>
      <c r="Q72">
        <f>ROUND(Source!AE36*Source!I36, 2)</f>
        <v>2.5099999999999998</v>
      </c>
    </row>
    <row r="73" spans="1:21" ht="14.25" x14ac:dyDescent="0.2">
      <c r="A73" s="25"/>
      <c r="B73" s="26"/>
      <c r="C73" s="26" t="s">
        <v>407</v>
      </c>
      <c r="D73" s="28"/>
      <c r="E73" s="10"/>
      <c r="F73" s="20">
        <f>Source!AL36</f>
        <v>29.44</v>
      </c>
      <c r="G73" s="29" t="str">
        <f>Source!DD36</f>
        <v/>
      </c>
      <c r="H73" s="20">
        <f>ROUND(Source!AC36*Source!I36, 2)</f>
        <v>14.72</v>
      </c>
      <c r="I73" s="29">
        <f>IF(Source!BC36&lt;&gt; 0, Source!BC36, 1)</f>
        <v>9.43</v>
      </c>
      <c r="J73" s="20">
        <f>Source!P36</f>
        <v>138.81</v>
      </c>
    </row>
    <row r="74" spans="1:21" ht="71.25" x14ac:dyDescent="0.2">
      <c r="A74" s="25" t="str">
        <f>Source!E37</f>
        <v>5,1</v>
      </c>
      <c r="B74" s="26" t="str">
        <f>Source!F37</f>
        <v>21.1.06.10-0520</v>
      </c>
      <c r="C74" s="26" t="str">
        <f>Source!G37</f>
        <v>Кабель силовой с медными жилами с поливинилхлоридной изоляцией и оболочкой, не распространяющий горение марки ВВГнг, напряжением 1,0 кВ, с числом жил - 1 и сечением 70 мм2</v>
      </c>
      <c r="D74" s="28" t="str">
        <f>Source!H37</f>
        <v>1000 м</v>
      </c>
      <c r="E74" s="10">
        <f>Source!I37</f>
        <v>5.0999999999999997E-2</v>
      </c>
      <c r="F74" s="20">
        <f>Source!AK37</f>
        <v>59944.04</v>
      </c>
      <c r="G74" s="30" t="s">
        <v>3</v>
      </c>
      <c r="H74" s="20">
        <f>ROUND(Source!AC37*Source!I37, 2)+ROUND(Source!AD37*Source!I37, 2)+ROUND(Source!AF37*Source!I37, 2)</f>
        <v>3057.15</v>
      </c>
      <c r="I74" s="29">
        <f>IF(Source!BC37&lt;&gt; 0, Source!BC37, 1)</f>
        <v>5.98</v>
      </c>
      <c r="J74" s="20">
        <f>Source!O37</f>
        <v>18281.73</v>
      </c>
      <c r="R74">
        <f>ROUND((Source!FX37/100)*((ROUND(Source!AF37*Source!I37, 2)+ROUND(Source!AE37*Source!I37, 2))), 2)</f>
        <v>0</v>
      </c>
      <c r="S74">
        <f>Source!X37</f>
        <v>0</v>
      </c>
      <c r="T74">
        <f>ROUND((Source!FY37/100)*((ROUND(Source!AF37*Source!I37, 2)+ROUND(Source!AE37*Source!I37, 2))), 2)</f>
        <v>0</v>
      </c>
      <c r="U74">
        <f>Source!Y37</f>
        <v>0</v>
      </c>
    </row>
    <row r="75" spans="1:21" ht="14.25" x14ac:dyDescent="0.2">
      <c r="A75" s="25"/>
      <c r="B75" s="26"/>
      <c r="C75" s="26" t="str">
        <f>CONCATENATE("НР от ФОТ [к тек. уровню ", Source!FV36, "]")</f>
        <v>НР от ФОТ [к тек. уровню *0,85]</v>
      </c>
      <c r="D75" s="28" t="s">
        <v>401</v>
      </c>
      <c r="E75" s="10">
        <f>Source!BZ36</f>
        <v>95</v>
      </c>
      <c r="F75" s="20"/>
      <c r="G75" s="29"/>
      <c r="H75" s="20">
        <f>SUM(R69:R74)</f>
        <v>45.02</v>
      </c>
      <c r="I75" s="29">
        <f>Source!AT36</f>
        <v>81</v>
      </c>
      <c r="J75" s="20">
        <f>SUM(S69:S74)</f>
        <v>948.8</v>
      </c>
    </row>
    <row r="76" spans="1:21" ht="14.25" x14ac:dyDescent="0.2">
      <c r="A76" s="25"/>
      <c r="B76" s="26"/>
      <c r="C76" s="26" t="str">
        <f>CONCATENATE("СП от ФОТ [к тек. уровню ", Source!FW36, "]")</f>
        <v>СП от ФОТ [к тек. уровню *0,8]</v>
      </c>
      <c r="D76" s="28" t="s">
        <v>401</v>
      </c>
      <c r="E76" s="10">
        <f>Source!CA36</f>
        <v>65</v>
      </c>
      <c r="F76" s="20"/>
      <c r="G76" s="29"/>
      <c r="H76" s="20">
        <f>SUM(T69:T75)</f>
        <v>30.8</v>
      </c>
      <c r="I76" s="29">
        <f>Source!AU36</f>
        <v>52</v>
      </c>
      <c r="J76" s="20">
        <f>SUM(U69:U75)</f>
        <v>609.11</v>
      </c>
    </row>
    <row r="77" spans="1:21" ht="14.25" x14ac:dyDescent="0.2">
      <c r="A77" s="33"/>
      <c r="B77" s="34"/>
      <c r="C77" s="34" t="s">
        <v>402</v>
      </c>
      <c r="D77" s="35" t="s">
        <v>403</v>
      </c>
      <c r="E77" s="36">
        <f>Source!AQ36</f>
        <v>9.33</v>
      </c>
      <c r="F77" s="37"/>
      <c r="G77" s="38" t="str">
        <f>Source!DI36</f>
        <v/>
      </c>
      <c r="H77" s="37">
        <f>Source!U36</f>
        <v>4.665</v>
      </c>
      <c r="I77" s="38"/>
      <c r="J77" s="37"/>
    </row>
    <row r="78" spans="1:21" ht="15" x14ac:dyDescent="0.25">
      <c r="C78" s="31" t="s">
        <v>404</v>
      </c>
      <c r="G78" s="43">
        <f>ROUND(Source!AC36*Source!I36, 2)+ROUND(Source!AF36*Source!I36, 2)+ROUND(Source!AD36*Source!I36, 2)+SUM(H74:H76)</f>
        <v>3214.94</v>
      </c>
      <c r="H78" s="43"/>
      <c r="I78" s="43">
        <f>Source!P36+Source!Q36+Source!S36+SUM(J74:J76)</f>
        <v>21295.579999999998</v>
      </c>
      <c r="J78" s="43"/>
      <c r="O78" s="32">
        <f>G78</f>
        <v>3214.94</v>
      </c>
      <c r="P78" s="32">
        <f>I78</f>
        <v>21295.579999999998</v>
      </c>
    </row>
    <row r="79" spans="1:21" ht="42.75" x14ac:dyDescent="0.2">
      <c r="A79" s="25" t="str">
        <f>Source!E38</f>
        <v>6</v>
      </c>
      <c r="B79" s="26" t="str">
        <f>Source!F38</f>
        <v>м08-02-144-05</v>
      </c>
      <c r="C79" s="26" t="str">
        <f>Source!G38</f>
        <v>Присоединение к зажимам жил проводов или кабелей сечением до 70 мм2</v>
      </c>
      <c r="D79" s="28" t="str">
        <f>Source!H38</f>
        <v>100 ШТ</v>
      </c>
      <c r="E79" s="10">
        <f>Source!I38</f>
        <v>0.12</v>
      </c>
      <c r="F79" s="20"/>
      <c r="G79" s="29"/>
      <c r="H79" s="20"/>
      <c r="I79" s="29" t="str">
        <f>Source!BO38</f>
        <v>м08-02-144-05</v>
      </c>
      <c r="J79" s="20"/>
      <c r="R79">
        <f>ROUND((Source!FX38/100)*((ROUND(Source!AF38*Source!I38, 2)+ROUND(Source!AE38*Source!I38, 2))), 2)</f>
        <v>16.579999999999998</v>
      </c>
      <c r="S79">
        <f>Source!X38</f>
        <v>349.48</v>
      </c>
      <c r="T79">
        <f>ROUND((Source!FY38/100)*((ROUND(Source!AF38*Source!I38, 2)+ROUND(Source!AE38*Source!I38, 2))), 2)</f>
        <v>11.34</v>
      </c>
      <c r="U79">
        <f>Source!Y38</f>
        <v>224.36</v>
      </c>
    </row>
    <row r="80" spans="1:21" ht="14.25" x14ac:dyDescent="0.2">
      <c r="A80" s="25"/>
      <c r="B80" s="26"/>
      <c r="C80" s="26" t="s">
        <v>400</v>
      </c>
      <c r="D80" s="28"/>
      <c r="E80" s="10"/>
      <c r="F80" s="20">
        <f>Source!AO38</f>
        <v>145.44999999999999</v>
      </c>
      <c r="G80" s="29" t="str">
        <f>Source!DG38</f>
        <v/>
      </c>
      <c r="H80" s="20">
        <f>ROUND(Source!AF38*Source!I38, 2)</f>
        <v>17.45</v>
      </c>
      <c r="I80" s="29">
        <f>IF(Source!BA38&lt;&gt; 0, Source!BA38, 1)</f>
        <v>24.72</v>
      </c>
      <c r="J80" s="20">
        <f>Source!S38</f>
        <v>431.46</v>
      </c>
      <c r="Q80">
        <f>ROUND(Source!AF38*Source!I38, 2)</f>
        <v>17.45</v>
      </c>
    </row>
    <row r="81" spans="1:21" ht="14.25" x14ac:dyDescent="0.2">
      <c r="A81" s="25"/>
      <c r="B81" s="26"/>
      <c r="C81" s="26" t="s">
        <v>407</v>
      </c>
      <c r="D81" s="28"/>
      <c r="E81" s="10"/>
      <c r="F81" s="20">
        <f>Source!AL38</f>
        <v>2.91</v>
      </c>
      <c r="G81" s="29" t="str">
        <f>Source!DD38</f>
        <v/>
      </c>
      <c r="H81" s="20">
        <f>ROUND(Source!AC38*Source!I38, 2)</f>
        <v>0.35</v>
      </c>
      <c r="I81" s="29">
        <f>IF(Source!BC38&lt;&gt; 0, Source!BC38, 1)</f>
        <v>24.71</v>
      </c>
      <c r="J81" s="20">
        <f>Source!P38</f>
        <v>8.6300000000000008</v>
      </c>
    </row>
    <row r="82" spans="1:21" ht="28.5" x14ac:dyDescent="0.2">
      <c r="A82" s="25" t="str">
        <f>Source!E39</f>
        <v>6,1</v>
      </c>
      <c r="B82" s="26" t="str">
        <f>Source!F39</f>
        <v>20.2.10.04-0010</v>
      </c>
      <c r="C82" s="26" t="str">
        <f>Source!G39</f>
        <v>Наконечники кабельные медные луженные ТМЛ-120</v>
      </c>
      <c r="D82" s="28" t="str">
        <f>Source!H39</f>
        <v>100 шт.</v>
      </c>
      <c r="E82" s="10">
        <f>Source!I39</f>
        <v>0.12</v>
      </c>
      <c r="F82" s="20">
        <f>Source!AK39</f>
        <v>2182</v>
      </c>
      <c r="G82" s="30" t="s">
        <v>3</v>
      </c>
      <c r="H82" s="20">
        <f>ROUND(Source!AC39*Source!I39, 2)+ROUND(Source!AD39*Source!I39, 2)+ROUND(Source!AF39*Source!I39, 2)</f>
        <v>261.83999999999997</v>
      </c>
      <c r="I82" s="29">
        <f>IF(Source!BC39&lt;&gt; 0, Source!BC39, 1)</f>
        <v>4.1500000000000004</v>
      </c>
      <c r="J82" s="20">
        <f>Source!O39</f>
        <v>1086.6400000000001</v>
      </c>
      <c r="R82">
        <f>ROUND((Source!FX39/100)*((ROUND(Source!AF39*Source!I39, 2)+ROUND(Source!AE39*Source!I39, 2))), 2)</f>
        <v>0</v>
      </c>
      <c r="S82">
        <f>Source!X39</f>
        <v>0</v>
      </c>
      <c r="T82">
        <f>ROUND((Source!FY39/100)*((ROUND(Source!AF39*Source!I39, 2)+ROUND(Source!AE39*Source!I39, 2))), 2)</f>
        <v>0</v>
      </c>
      <c r="U82">
        <f>Source!Y39</f>
        <v>0</v>
      </c>
    </row>
    <row r="83" spans="1:21" ht="14.25" x14ac:dyDescent="0.2">
      <c r="A83" s="25"/>
      <c r="B83" s="26"/>
      <c r="C83" s="26" t="str">
        <f>CONCATENATE("НР от ФОТ [к тек. уровню ", Source!FV38, "]")</f>
        <v>НР от ФОТ [к тек. уровню *0,85]</v>
      </c>
      <c r="D83" s="28" t="s">
        <v>401</v>
      </c>
      <c r="E83" s="10">
        <f>Source!BZ38</f>
        <v>95</v>
      </c>
      <c r="F83" s="20"/>
      <c r="G83" s="29"/>
      <c r="H83" s="20">
        <f>SUM(R79:R82)</f>
        <v>16.579999999999998</v>
      </c>
      <c r="I83" s="29">
        <f>Source!AT38</f>
        <v>81</v>
      </c>
      <c r="J83" s="20">
        <f>SUM(S79:S82)</f>
        <v>349.48</v>
      </c>
    </row>
    <row r="84" spans="1:21" ht="14.25" x14ac:dyDescent="0.2">
      <c r="A84" s="25"/>
      <c r="B84" s="26"/>
      <c r="C84" s="26" t="str">
        <f>CONCATENATE("СП от ФОТ [к тек. уровню ", Source!FW38, "]")</f>
        <v>СП от ФОТ [к тек. уровню *0,8]</v>
      </c>
      <c r="D84" s="28" t="s">
        <v>401</v>
      </c>
      <c r="E84" s="10">
        <f>Source!CA38</f>
        <v>65</v>
      </c>
      <c r="F84" s="20"/>
      <c r="G84" s="29"/>
      <c r="H84" s="20">
        <f>SUM(T79:T83)</f>
        <v>11.34</v>
      </c>
      <c r="I84" s="29">
        <f>Source!AU38</f>
        <v>52</v>
      </c>
      <c r="J84" s="20">
        <f>SUM(U79:U83)</f>
        <v>224.36</v>
      </c>
    </row>
    <row r="85" spans="1:21" ht="14.25" x14ac:dyDescent="0.2">
      <c r="A85" s="33"/>
      <c r="B85" s="34"/>
      <c r="C85" s="34" t="s">
        <v>402</v>
      </c>
      <c r="D85" s="35" t="s">
        <v>403</v>
      </c>
      <c r="E85" s="36">
        <f>Source!AQ38</f>
        <v>15.12</v>
      </c>
      <c r="F85" s="37"/>
      <c r="G85" s="38" t="str">
        <f>Source!DI38</f>
        <v/>
      </c>
      <c r="H85" s="37">
        <f>Source!U38</f>
        <v>1.8143999999999998</v>
      </c>
      <c r="I85" s="38"/>
      <c r="J85" s="37"/>
    </row>
    <row r="86" spans="1:21" ht="15" x14ac:dyDescent="0.25">
      <c r="C86" s="31" t="s">
        <v>404</v>
      </c>
      <c r="G86" s="43">
        <f>ROUND(Source!AC38*Source!I38, 2)+ROUND(Source!AF38*Source!I38, 2)+ROUND(Source!AD38*Source!I38, 2)+SUM(H82:H84)</f>
        <v>307.55999999999995</v>
      </c>
      <c r="H86" s="43"/>
      <c r="I86" s="43">
        <f>Source!P38+Source!Q38+Source!S38+SUM(J82:J84)</f>
        <v>2100.5700000000002</v>
      </c>
      <c r="J86" s="43"/>
      <c r="O86" s="32">
        <f>G86</f>
        <v>307.55999999999995</v>
      </c>
      <c r="P86" s="32">
        <f>I86</f>
        <v>2100.5700000000002</v>
      </c>
    </row>
    <row r="87" spans="1:21" ht="28.5" x14ac:dyDescent="0.2">
      <c r="A87" s="25" t="str">
        <f>Source!E40</f>
        <v>7</v>
      </c>
      <c r="B87" s="26" t="str">
        <f>Source!F40</f>
        <v>м08-02-200-01</v>
      </c>
      <c r="C87" s="26" t="str">
        <f>Source!G40</f>
        <v>Монтаж термоусаживаемой манжеты из трубки для кабеля</v>
      </c>
      <c r="D87" s="28" t="str">
        <f>Source!H40</f>
        <v>ШТ</v>
      </c>
      <c r="E87" s="10">
        <f>Source!I40</f>
        <v>35</v>
      </c>
      <c r="F87" s="20"/>
      <c r="G87" s="29"/>
      <c r="H87" s="20"/>
      <c r="I87" s="29" t="str">
        <f>Source!BO40</f>
        <v>м08-02-200-01</v>
      </c>
      <c r="J87" s="20"/>
      <c r="R87">
        <f>ROUND((Source!FX40/100)*((ROUND(Source!AF40*Source!I40, 2)+ROUND(Source!AE40*Source!I40, 2))), 2)</f>
        <v>177.89</v>
      </c>
      <c r="S87">
        <f>Source!X40</f>
        <v>3749.34</v>
      </c>
      <c r="T87">
        <f>ROUND((Source!FY40/100)*((ROUND(Source!AF40*Source!I40, 2)+ROUND(Source!AE40*Source!I40, 2))), 2)</f>
        <v>121.71</v>
      </c>
      <c r="U87">
        <f>Source!Y40</f>
        <v>2406.9899999999998</v>
      </c>
    </row>
    <row r="88" spans="1:21" ht="14.25" x14ac:dyDescent="0.2">
      <c r="A88" s="25"/>
      <c r="B88" s="26"/>
      <c r="C88" s="26" t="s">
        <v>400</v>
      </c>
      <c r="D88" s="28"/>
      <c r="E88" s="10"/>
      <c r="F88" s="20">
        <f>Source!AO40</f>
        <v>5.35</v>
      </c>
      <c r="G88" s="29" t="str">
        <f>Source!DG40</f>
        <v/>
      </c>
      <c r="H88" s="20">
        <f>ROUND(Source!AF40*Source!I40, 2)</f>
        <v>187.25</v>
      </c>
      <c r="I88" s="29">
        <f>IF(Source!BA40&lt;&gt; 0, Source!BA40, 1)</f>
        <v>24.72</v>
      </c>
      <c r="J88" s="20">
        <f>Source!S40</f>
        <v>4628.82</v>
      </c>
      <c r="Q88">
        <f>ROUND(Source!AF40*Source!I40, 2)</f>
        <v>187.25</v>
      </c>
    </row>
    <row r="89" spans="1:21" ht="14.25" x14ac:dyDescent="0.2">
      <c r="A89" s="25"/>
      <c r="B89" s="26"/>
      <c r="C89" s="26" t="s">
        <v>407</v>
      </c>
      <c r="D89" s="28"/>
      <c r="E89" s="10"/>
      <c r="F89" s="20">
        <f>Source!AL40</f>
        <v>0.94</v>
      </c>
      <c r="G89" s="29" t="str">
        <f>Source!DD40</f>
        <v/>
      </c>
      <c r="H89" s="20">
        <f>ROUND(Source!AC40*Source!I40, 2)</f>
        <v>32.9</v>
      </c>
      <c r="I89" s="29">
        <f>IF(Source!BC40&lt;&gt; 0, Source!BC40, 1)</f>
        <v>9.07</v>
      </c>
      <c r="J89" s="20">
        <f>Source!P40</f>
        <v>298.39999999999998</v>
      </c>
    </row>
    <row r="90" spans="1:21" ht="28.5" x14ac:dyDescent="0.2">
      <c r="A90" s="25" t="str">
        <f>Source!E41</f>
        <v>7,1</v>
      </c>
      <c r="B90" s="26" t="str">
        <f>Source!F41</f>
        <v>24.3.05.06-0041</v>
      </c>
      <c r="C90" s="26" t="str">
        <f>Source!G41</f>
        <v>Манжета термоусаживаемая</v>
      </c>
      <c r="D90" s="28" t="str">
        <f>Source!H41</f>
        <v>шт.</v>
      </c>
      <c r="E90" s="10">
        <f>Source!I41</f>
        <v>35</v>
      </c>
      <c r="F90" s="20">
        <f>Source!AK41</f>
        <v>38</v>
      </c>
      <c r="G90" s="30" t="s">
        <v>3</v>
      </c>
      <c r="H90" s="20">
        <f>ROUND(Source!AC41*Source!I41, 2)+ROUND(Source!AD41*Source!I41, 2)+ROUND(Source!AF41*Source!I41, 2)</f>
        <v>1330</v>
      </c>
      <c r="I90" s="29">
        <f>IF(Source!BC41&lt;&gt; 0, Source!BC41, 1)</f>
        <v>2.73</v>
      </c>
      <c r="J90" s="20">
        <f>Source!O41</f>
        <v>3630.9</v>
      </c>
      <c r="R90">
        <f>ROUND((Source!FX41/100)*((ROUND(Source!AF41*Source!I41, 2)+ROUND(Source!AE41*Source!I41, 2))), 2)</f>
        <v>0</v>
      </c>
      <c r="S90">
        <f>Source!X41</f>
        <v>0</v>
      </c>
      <c r="T90">
        <f>ROUND((Source!FY41/100)*((ROUND(Source!AF41*Source!I41, 2)+ROUND(Source!AE41*Source!I41, 2))), 2)</f>
        <v>0</v>
      </c>
      <c r="U90">
        <f>Source!Y41</f>
        <v>0</v>
      </c>
    </row>
    <row r="91" spans="1:21" ht="14.25" x14ac:dyDescent="0.2">
      <c r="A91" s="25"/>
      <c r="B91" s="26"/>
      <c r="C91" s="26" t="str">
        <f>CONCATENATE("НР от ФОТ [к тек. уровню ", Source!FV40, "]")</f>
        <v>НР от ФОТ [к тек. уровню *0,85]</v>
      </c>
      <c r="D91" s="28" t="s">
        <v>401</v>
      </c>
      <c r="E91" s="10">
        <f>Source!BZ40</f>
        <v>95</v>
      </c>
      <c r="F91" s="20"/>
      <c r="G91" s="29"/>
      <c r="H91" s="20">
        <f>SUM(R87:R90)</f>
        <v>177.89</v>
      </c>
      <c r="I91" s="29">
        <f>Source!AT40</f>
        <v>81</v>
      </c>
      <c r="J91" s="20">
        <f>SUM(S87:S90)</f>
        <v>3749.34</v>
      </c>
    </row>
    <row r="92" spans="1:21" ht="14.25" x14ac:dyDescent="0.2">
      <c r="A92" s="25"/>
      <c r="B92" s="26"/>
      <c r="C92" s="26" t="str">
        <f>CONCATENATE("СП от ФОТ [к тек. уровню ", Source!FW40, "]")</f>
        <v>СП от ФОТ [к тек. уровню *0,8]</v>
      </c>
      <c r="D92" s="28" t="s">
        <v>401</v>
      </c>
      <c r="E92" s="10">
        <f>Source!CA40</f>
        <v>65</v>
      </c>
      <c r="F92" s="20"/>
      <c r="G92" s="29"/>
      <c r="H92" s="20">
        <f>SUM(T87:T91)</f>
        <v>121.71</v>
      </c>
      <c r="I92" s="29">
        <f>Source!AU40</f>
        <v>52</v>
      </c>
      <c r="J92" s="20">
        <f>SUM(U87:U91)</f>
        <v>2406.9899999999998</v>
      </c>
    </row>
    <row r="93" spans="1:21" ht="14.25" x14ac:dyDescent="0.2">
      <c r="A93" s="33"/>
      <c r="B93" s="34"/>
      <c r="C93" s="34" t="s">
        <v>402</v>
      </c>
      <c r="D93" s="35" t="s">
        <v>403</v>
      </c>
      <c r="E93" s="36">
        <f>Source!AQ40</f>
        <v>0.59</v>
      </c>
      <c r="F93" s="37"/>
      <c r="G93" s="38" t="str">
        <f>Source!DI40</f>
        <v/>
      </c>
      <c r="H93" s="37">
        <f>Source!U40</f>
        <v>20.65</v>
      </c>
      <c r="I93" s="38"/>
      <c r="J93" s="37"/>
    </row>
    <row r="94" spans="1:21" ht="15" x14ac:dyDescent="0.25">
      <c r="C94" s="31" t="s">
        <v>404</v>
      </c>
      <c r="G94" s="43">
        <f>ROUND(Source!AC40*Source!I40, 2)+ROUND(Source!AF40*Source!I40, 2)+ROUND(Source!AD40*Source!I40, 2)+SUM(H90:H92)</f>
        <v>1849.75</v>
      </c>
      <c r="H94" s="43"/>
      <c r="I94" s="43">
        <f>Source!P40+Source!Q40+Source!S40+SUM(J90:J92)</f>
        <v>14714.449999999999</v>
      </c>
      <c r="J94" s="43"/>
      <c r="O94" s="32">
        <f>G94</f>
        <v>1849.75</v>
      </c>
      <c r="P94" s="32">
        <f>I94</f>
        <v>14714.449999999999</v>
      </c>
    </row>
    <row r="95" spans="1:21" ht="42.75" x14ac:dyDescent="0.2">
      <c r="A95" s="25" t="str">
        <f>Source!E42</f>
        <v>8</v>
      </c>
      <c r="B95" s="26" t="str">
        <f>Source!F42</f>
        <v>м08-02-144-07</v>
      </c>
      <c r="C95" s="26" t="str">
        <f>Source!G42</f>
        <v>Присоединение к зажимам жил проводов или кабелей сечением до 240 мм2</v>
      </c>
      <c r="D95" s="28" t="str">
        <f>Source!H42</f>
        <v>100 ШТ</v>
      </c>
      <c r="E95" s="10">
        <f>Source!I42</f>
        <v>0.15</v>
      </c>
      <c r="F95" s="20"/>
      <c r="G95" s="29"/>
      <c r="H95" s="20"/>
      <c r="I95" s="29" t="str">
        <f>Source!BO42</f>
        <v>м08-02-144-07</v>
      </c>
      <c r="J95" s="20"/>
      <c r="R95">
        <f>ROUND((Source!FX42/100)*((ROUND(Source!AF42*Source!I42, 2)+ROUND(Source!AE42*Source!I42, 2))), 2)</f>
        <v>41.68</v>
      </c>
      <c r="S95">
        <f>Source!X42</f>
        <v>878.36</v>
      </c>
      <c r="T95">
        <f>ROUND((Source!FY42/100)*((ROUND(Source!AF42*Source!I42, 2)+ROUND(Source!AE42*Source!I42, 2))), 2)</f>
        <v>28.52</v>
      </c>
      <c r="U95">
        <f>Source!Y42</f>
        <v>563.89</v>
      </c>
    </row>
    <row r="96" spans="1:21" ht="14.25" x14ac:dyDescent="0.2">
      <c r="A96" s="25"/>
      <c r="B96" s="26"/>
      <c r="C96" s="26" t="s">
        <v>400</v>
      </c>
      <c r="D96" s="28"/>
      <c r="E96" s="10"/>
      <c r="F96" s="20">
        <f>Source!AO42</f>
        <v>292.45</v>
      </c>
      <c r="G96" s="29" t="str">
        <f>Source!DG42</f>
        <v/>
      </c>
      <c r="H96" s="20">
        <f>ROUND(Source!AF42*Source!I42, 2)</f>
        <v>43.87</v>
      </c>
      <c r="I96" s="29">
        <f>IF(Source!BA42&lt;&gt; 0, Source!BA42, 1)</f>
        <v>24.72</v>
      </c>
      <c r="J96" s="20">
        <f>Source!S42</f>
        <v>1084.4000000000001</v>
      </c>
      <c r="Q96">
        <f>ROUND(Source!AF42*Source!I42, 2)</f>
        <v>43.87</v>
      </c>
    </row>
    <row r="97" spans="1:21" ht="14.25" x14ac:dyDescent="0.2">
      <c r="A97" s="25"/>
      <c r="B97" s="26"/>
      <c r="C97" s="26" t="s">
        <v>407</v>
      </c>
      <c r="D97" s="28"/>
      <c r="E97" s="10"/>
      <c r="F97" s="20">
        <f>Source!AL42</f>
        <v>5.85</v>
      </c>
      <c r="G97" s="29" t="str">
        <f>Source!DD42</f>
        <v/>
      </c>
      <c r="H97" s="20">
        <f>ROUND(Source!AC42*Source!I42, 2)</f>
        <v>0.88</v>
      </c>
      <c r="I97" s="29">
        <f>IF(Source!BC42&lt;&gt; 0, Source!BC42, 1)</f>
        <v>24.72</v>
      </c>
      <c r="J97" s="20">
        <f>Source!P42</f>
        <v>21.69</v>
      </c>
    </row>
    <row r="98" spans="1:21" ht="28.5" x14ac:dyDescent="0.2">
      <c r="A98" s="25" t="str">
        <f>Source!E43</f>
        <v>8,1</v>
      </c>
      <c r="B98" s="26" t="str">
        <f>Source!F43</f>
        <v>20.2.10.04-0013</v>
      </c>
      <c r="C98" s="26" t="str">
        <f>Source!G43</f>
        <v>Наконечники кабельные медные луженные ТМЛ-240</v>
      </c>
      <c r="D98" s="28" t="str">
        <f>Source!H43</f>
        <v>100 шт.</v>
      </c>
      <c r="E98" s="10">
        <f>Source!I43</f>
        <v>0.15</v>
      </c>
      <c r="F98" s="20">
        <f>Source!AK43</f>
        <v>6639</v>
      </c>
      <c r="G98" s="30" t="s">
        <v>3</v>
      </c>
      <c r="H98" s="20">
        <f>ROUND(Source!AC43*Source!I43, 2)+ROUND(Source!AD43*Source!I43, 2)+ROUND(Source!AF43*Source!I43, 2)</f>
        <v>995.85</v>
      </c>
      <c r="I98" s="29">
        <f>IF(Source!BC43&lt;&gt; 0, Source!BC43, 1)</f>
        <v>3.76</v>
      </c>
      <c r="J98" s="20">
        <f>Source!O43</f>
        <v>3744.4</v>
      </c>
      <c r="R98">
        <f>ROUND((Source!FX43/100)*((ROUND(Source!AF43*Source!I43, 2)+ROUND(Source!AE43*Source!I43, 2))), 2)</f>
        <v>0</v>
      </c>
      <c r="S98">
        <f>Source!X43</f>
        <v>0</v>
      </c>
      <c r="T98">
        <f>ROUND((Source!FY43/100)*((ROUND(Source!AF43*Source!I43, 2)+ROUND(Source!AE43*Source!I43, 2))), 2)</f>
        <v>0</v>
      </c>
      <c r="U98">
        <f>Source!Y43</f>
        <v>0</v>
      </c>
    </row>
    <row r="99" spans="1:21" ht="14.25" x14ac:dyDescent="0.2">
      <c r="A99" s="25"/>
      <c r="B99" s="26"/>
      <c r="C99" s="26" t="str">
        <f>CONCATENATE("НР от ФОТ [к тек. уровню ", Source!FV42, "]")</f>
        <v>НР от ФОТ [к тек. уровню *0,85]</v>
      </c>
      <c r="D99" s="28" t="s">
        <v>401</v>
      </c>
      <c r="E99" s="10">
        <f>Source!BZ42</f>
        <v>95</v>
      </c>
      <c r="F99" s="20"/>
      <c r="G99" s="29"/>
      <c r="H99" s="20">
        <f>SUM(R95:R98)</f>
        <v>41.68</v>
      </c>
      <c r="I99" s="29">
        <f>Source!AT42</f>
        <v>81</v>
      </c>
      <c r="J99" s="20">
        <f>SUM(S95:S98)</f>
        <v>878.36</v>
      </c>
    </row>
    <row r="100" spans="1:21" ht="14.25" x14ac:dyDescent="0.2">
      <c r="A100" s="25"/>
      <c r="B100" s="26"/>
      <c r="C100" s="26" t="str">
        <f>CONCATENATE("СП от ФОТ [к тек. уровню ", Source!FW42, "]")</f>
        <v>СП от ФОТ [к тек. уровню *0,8]</v>
      </c>
      <c r="D100" s="28" t="s">
        <v>401</v>
      </c>
      <c r="E100" s="10">
        <f>Source!CA42</f>
        <v>65</v>
      </c>
      <c r="F100" s="20"/>
      <c r="G100" s="29"/>
      <c r="H100" s="20">
        <f>SUM(T95:T99)</f>
        <v>28.52</v>
      </c>
      <c r="I100" s="29">
        <f>Source!AU42</f>
        <v>52</v>
      </c>
      <c r="J100" s="20">
        <f>SUM(U95:U99)</f>
        <v>563.89</v>
      </c>
    </row>
    <row r="101" spans="1:21" ht="14.25" x14ac:dyDescent="0.2">
      <c r="A101" s="33"/>
      <c r="B101" s="34"/>
      <c r="C101" s="34" t="s">
        <v>402</v>
      </c>
      <c r="D101" s="35" t="s">
        <v>403</v>
      </c>
      <c r="E101" s="36">
        <f>Source!AQ42</f>
        <v>30.4</v>
      </c>
      <c r="F101" s="37"/>
      <c r="G101" s="38" t="str">
        <f>Source!DI42</f>
        <v/>
      </c>
      <c r="H101" s="37">
        <f>Source!U42</f>
        <v>4.5599999999999996</v>
      </c>
      <c r="I101" s="38"/>
      <c r="J101" s="37"/>
    </row>
    <row r="102" spans="1:21" ht="15" x14ac:dyDescent="0.25">
      <c r="C102" s="31" t="s">
        <v>404</v>
      </c>
      <c r="G102" s="43">
        <f>ROUND(Source!AC42*Source!I42, 2)+ROUND(Source!AF42*Source!I42, 2)+ROUND(Source!AD42*Source!I42, 2)+SUM(H98:H100)</f>
        <v>1110.8</v>
      </c>
      <c r="H102" s="43"/>
      <c r="I102" s="43">
        <f>Source!P42+Source!Q42+Source!S42+SUM(J98:J100)</f>
        <v>6292.7400000000007</v>
      </c>
      <c r="J102" s="43"/>
      <c r="O102" s="32">
        <f>G102</f>
        <v>1110.8</v>
      </c>
      <c r="P102" s="32">
        <f>I102</f>
        <v>6292.7400000000007</v>
      </c>
    </row>
    <row r="103" spans="1:21" ht="42.75" x14ac:dyDescent="0.2">
      <c r="A103" s="25" t="str">
        <f>Source!E44</f>
        <v>9</v>
      </c>
      <c r="B103" s="26" t="str">
        <f>Source!F44</f>
        <v>м08-02-144-08</v>
      </c>
      <c r="C103" s="26" t="str">
        <f>Source!G44</f>
        <v>Присоединение к зажимам жил проводов или кабелей сечением до 400 мм2</v>
      </c>
      <c r="D103" s="28" t="str">
        <f>Source!H44</f>
        <v>100 ШТ</v>
      </c>
      <c r="E103" s="10">
        <f>Source!I44</f>
        <v>0.08</v>
      </c>
      <c r="F103" s="20"/>
      <c r="G103" s="29"/>
      <c r="H103" s="20"/>
      <c r="I103" s="29" t="str">
        <f>Source!BO44</f>
        <v>м08-02-144-08</v>
      </c>
      <c r="J103" s="20"/>
      <c r="R103">
        <f>ROUND((Source!FX44/100)*((ROUND(Source!AF44*Source!I44, 2)+ROUND(Source!AE44*Source!I44, 2))), 2)</f>
        <v>33.92</v>
      </c>
      <c r="S103">
        <f>Source!X44</f>
        <v>715.02</v>
      </c>
      <c r="T103">
        <f>ROUND((Source!FY44/100)*((ROUND(Source!AF44*Source!I44, 2)+ROUND(Source!AE44*Source!I44, 2))), 2)</f>
        <v>23.21</v>
      </c>
      <c r="U103">
        <f>Source!Y44</f>
        <v>459.02</v>
      </c>
    </row>
    <row r="104" spans="1:21" ht="14.25" x14ac:dyDescent="0.2">
      <c r="A104" s="25"/>
      <c r="B104" s="26"/>
      <c r="C104" s="26" t="s">
        <v>400</v>
      </c>
      <c r="D104" s="28"/>
      <c r="E104" s="10"/>
      <c r="F104" s="20">
        <f>Source!AO44</f>
        <v>446.37</v>
      </c>
      <c r="G104" s="29" t="str">
        <f>Source!DG44</f>
        <v/>
      </c>
      <c r="H104" s="20">
        <f>ROUND(Source!AF44*Source!I44, 2)</f>
        <v>35.71</v>
      </c>
      <c r="I104" s="29">
        <f>IF(Source!BA44&lt;&gt; 0, Source!BA44, 1)</f>
        <v>24.72</v>
      </c>
      <c r="J104" s="20">
        <f>Source!S44</f>
        <v>882.74</v>
      </c>
      <c r="Q104">
        <f>ROUND(Source!AF44*Source!I44, 2)</f>
        <v>35.71</v>
      </c>
    </row>
    <row r="105" spans="1:21" ht="14.25" x14ac:dyDescent="0.2">
      <c r="A105" s="25"/>
      <c r="B105" s="26"/>
      <c r="C105" s="26" t="s">
        <v>407</v>
      </c>
      <c r="D105" s="28"/>
      <c r="E105" s="10"/>
      <c r="F105" s="20">
        <f>Source!AL44</f>
        <v>8.93</v>
      </c>
      <c r="G105" s="29" t="str">
        <f>Source!DD44</f>
        <v/>
      </c>
      <c r="H105" s="20">
        <f>ROUND(Source!AC44*Source!I44, 2)</f>
        <v>0.71</v>
      </c>
      <c r="I105" s="29">
        <f>IF(Source!BC44&lt;&gt; 0, Source!BC44, 1)</f>
        <v>24.71</v>
      </c>
      <c r="J105" s="20">
        <f>Source!P44</f>
        <v>17.649999999999999</v>
      </c>
    </row>
    <row r="106" spans="1:21" ht="42.75" x14ac:dyDescent="0.2">
      <c r="A106" s="25" t="str">
        <f>Source!E45</f>
        <v>9,1</v>
      </c>
      <c r="B106" s="26" t="str">
        <f>Source!F45</f>
        <v>20.2.10.04-0013</v>
      </c>
      <c r="C106" s="26" t="str">
        <f>Source!G45</f>
        <v>Наконечники кабельные медные луженные ТМЛ-240 (прим. НБ-4-300-100)</v>
      </c>
      <c r="D106" s="28" t="str">
        <f>Source!H45</f>
        <v>100 шт.</v>
      </c>
      <c r="E106" s="10">
        <f>Source!I45</f>
        <v>0.08</v>
      </c>
      <c r="F106" s="20">
        <f>Source!AK45</f>
        <v>6639</v>
      </c>
      <c r="G106" s="30" t="s">
        <v>3</v>
      </c>
      <c r="H106" s="20">
        <f>ROUND(Source!AC45*Source!I45, 2)+ROUND(Source!AD45*Source!I45, 2)+ROUND(Source!AF45*Source!I45, 2)</f>
        <v>531.12</v>
      </c>
      <c r="I106" s="29">
        <f>IF(Source!BC45&lt;&gt; 0, Source!BC45, 1)</f>
        <v>3.76</v>
      </c>
      <c r="J106" s="20">
        <f>Source!O45</f>
        <v>1997.01</v>
      </c>
      <c r="R106">
        <f>ROUND((Source!FX45/100)*((ROUND(Source!AF45*Source!I45, 2)+ROUND(Source!AE45*Source!I45, 2))), 2)</f>
        <v>0</v>
      </c>
      <c r="S106">
        <f>Source!X45</f>
        <v>0</v>
      </c>
      <c r="T106">
        <f>ROUND((Source!FY45/100)*((ROUND(Source!AF45*Source!I45, 2)+ROUND(Source!AE45*Source!I45, 2))), 2)</f>
        <v>0</v>
      </c>
      <c r="U106">
        <f>Source!Y45</f>
        <v>0</v>
      </c>
    </row>
    <row r="107" spans="1:21" ht="14.25" x14ac:dyDescent="0.2">
      <c r="A107" s="25"/>
      <c r="B107" s="26"/>
      <c r="C107" s="26" t="str">
        <f>CONCATENATE("НР от ФОТ [к тек. уровню ", Source!FV44, "]")</f>
        <v>НР от ФОТ [к тек. уровню *0,85]</v>
      </c>
      <c r="D107" s="28" t="s">
        <v>401</v>
      </c>
      <c r="E107" s="10">
        <f>Source!BZ44</f>
        <v>95</v>
      </c>
      <c r="F107" s="20"/>
      <c r="G107" s="29"/>
      <c r="H107" s="20">
        <f>SUM(R103:R106)</f>
        <v>33.92</v>
      </c>
      <c r="I107" s="29">
        <f>Source!AT44</f>
        <v>81</v>
      </c>
      <c r="J107" s="20">
        <f>SUM(S103:S106)</f>
        <v>715.02</v>
      </c>
    </row>
    <row r="108" spans="1:21" ht="14.25" x14ac:dyDescent="0.2">
      <c r="A108" s="25"/>
      <c r="B108" s="26"/>
      <c r="C108" s="26" t="str">
        <f>CONCATENATE("СП от ФОТ [к тек. уровню ", Source!FW44, "]")</f>
        <v>СП от ФОТ [к тек. уровню *0,8]</v>
      </c>
      <c r="D108" s="28" t="s">
        <v>401</v>
      </c>
      <c r="E108" s="10">
        <f>Source!CA44</f>
        <v>65</v>
      </c>
      <c r="F108" s="20"/>
      <c r="G108" s="29"/>
      <c r="H108" s="20">
        <f>SUM(T103:T107)</f>
        <v>23.21</v>
      </c>
      <c r="I108" s="29">
        <f>Source!AU44</f>
        <v>52</v>
      </c>
      <c r="J108" s="20">
        <f>SUM(U103:U107)</f>
        <v>459.02</v>
      </c>
    </row>
    <row r="109" spans="1:21" ht="14.25" x14ac:dyDescent="0.2">
      <c r="A109" s="33"/>
      <c r="B109" s="34"/>
      <c r="C109" s="34" t="s">
        <v>402</v>
      </c>
      <c r="D109" s="35" t="s">
        <v>403</v>
      </c>
      <c r="E109" s="36">
        <f>Source!AQ44</f>
        <v>46.4</v>
      </c>
      <c r="F109" s="37"/>
      <c r="G109" s="38" t="str">
        <f>Source!DI44</f>
        <v/>
      </c>
      <c r="H109" s="37">
        <f>Source!U44</f>
        <v>3.7119999999999997</v>
      </c>
      <c r="I109" s="38"/>
      <c r="J109" s="37"/>
    </row>
    <row r="110" spans="1:21" ht="15" x14ac:dyDescent="0.25">
      <c r="C110" s="31" t="s">
        <v>404</v>
      </c>
      <c r="G110" s="43">
        <f>ROUND(Source!AC44*Source!I44, 2)+ROUND(Source!AF44*Source!I44, 2)+ROUND(Source!AD44*Source!I44, 2)+SUM(H106:H108)</f>
        <v>624.66999999999996</v>
      </c>
      <c r="H110" s="43"/>
      <c r="I110" s="43">
        <f>Source!P44+Source!Q44+Source!S44+SUM(J106:J108)</f>
        <v>4071.4399999999996</v>
      </c>
      <c r="J110" s="43"/>
      <c r="O110" s="32">
        <f>G110</f>
        <v>624.66999999999996</v>
      </c>
      <c r="P110" s="32">
        <f>I110</f>
        <v>4071.4399999999996</v>
      </c>
    </row>
    <row r="111" spans="1:21" ht="57" x14ac:dyDescent="0.2">
      <c r="A111" s="25" t="str">
        <f>Source!E46</f>
        <v>10</v>
      </c>
      <c r="B111" s="26" t="str">
        <f>Source!F46</f>
        <v>м08-02-167-01</v>
      </c>
      <c r="C111" s="26" t="str">
        <f>Source!G46</f>
        <v>Муфта соединительная эпоксидная для 3-4-жильного кабеля напряжением до 1кВ, сечение одной жилы до 35 мм2 (прим.)</v>
      </c>
      <c r="D111" s="28" t="str">
        <f>Source!H46</f>
        <v>ШТ</v>
      </c>
      <c r="E111" s="10">
        <f>Source!I46</f>
        <v>12</v>
      </c>
      <c r="F111" s="20"/>
      <c r="G111" s="29"/>
      <c r="H111" s="20"/>
      <c r="I111" s="29" t="str">
        <f>Source!BO46</f>
        <v>м08-02-167-01</v>
      </c>
      <c r="J111" s="20"/>
      <c r="R111">
        <f>ROUND((Source!FX46/100)*((ROUND(Source!AF46*Source!I46, 2)+ROUND(Source!AE46*Source!I46, 2))), 2)</f>
        <v>609.44000000000005</v>
      </c>
      <c r="S111">
        <f>Source!X46</f>
        <v>12845.29</v>
      </c>
      <c r="T111">
        <f>ROUND((Source!FY46/100)*((ROUND(Source!AF46*Source!I46, 2)+ROUND(Source!AE46*Source!I46, 2))), 2)</f>
        <v>416.99</v>
      </c>
      <c r="U111">
        <f>Source!Y46</f>
        <v>8246.36</v>
      </c>
    </row>
    <row r="112" spans="1:21" ht="14.25" x14ac:dyDescent="0.2">
      <c r="A112" s="25"/>
      <c r="B112" s="26"/>
      <c r="C112" s="26" t="s">
        <v>400</v>
      </c>
      <c r="D112" s="28"/>
      <c r="E112" s="10"/>
      <c r="F112" s="20">
        <f>Source!AO46</f>
        <v>53.2</v>
      </c>
      <c r="G112" s="29" t="str">
        <f>Source!DG46</f>
        <v/>
      </c>
      <c r="H112" s="20">
        <f>ROUND(Source!AF46*Source!I46, 2)</f>
        <v>638.4</v>
      </c>
      <c r="I112" s="29">
        <f>IF(Source!BA46&lt;&gt; 0, Source!BA46, 1)</f>
        <v>24.72</v>
      </c>
      <c r="J112" s="20">
        <f>Source!S46</f>
        <v>15781.25</v>
      </c>
      <c r="Q112">
        <f>ROUND(Source!AF46*Source!I46, 2)</f>
        <v>638.4</v>
      </c>
    </row>
    <row r="113" spans="1:21" ht="14.25" x14ac:dyDescent="0.2">
      <c r="A113" s="25"/>
      <c r="B113" s="26"/>
      <c r="C113" s="26" t="s">
        <v>405</v>
      </c>
      <c r="D113" s="28"/>
      <c r="E113" s="10"/>
      <c r="F113" s="20">
        <f>Source!AM46</f>
        <v>1.78</v>
      </c>
      <c r="G113" s="29" t="str">
        <f>Source!DE46</f>
        <v/>
      </c>
      <c r="H113" s="20">
        <f>ROUND(Source!AD46*Source!I46, 2)</f>
        <v>21.36</v>
      </c>
      <c r="I113" s="29">
        <f>IF(Source!BB46&lt;&gt; 0, Source!BB46, 1)</f>
        <v>9.06</v>
      </c>
      <c r="J113" s="20">
        <f>Source!Q46</f>
        <v>193.52</v>
      </c>
    </row>
    <row r="114" spans="1:21" ht="14.25" x14ac:dyDescent="0.2">
      <c r="A114" s="25"/>
      <c r="B114" s="26"/>
      <c r="C114" s="26" t="s">
        <v>406</v>
      </c>
      <c r="D114" s="28"/>
      <c r="E114" s="10"/>
      <c r="F114" s="20">
        <f>Source!AN46</f>
        <v>0.26</v>
      </c>
      <c r="G114" s="29" t="str">
        <f>Source!DF46</f>
        <v/>
      </c>
      <c r="H114" s="39">
        <f>ROUND(Source!AE46*Source!I46, 2)</f>
        <v>3.12</v>
      </c>
      <c r="I114" s="29">
        <f>IF(Source!BS46&lt;&gt; 0, Source!BS46, 1)</f>
        <v>24.72</v>
      </c>
      <c r="J114" s="39">
        <f>Source!R46</f>
        <v>77.13</v>
      </c>
      <c r="Q114">
        <f>ROUND(Source!AE46*Source!I46, 2)</f>
        <v>3.12</v>
      </c>
    </row>
    <row r="115" spans="1:21" ht="14.25" x14ac:dyDescent="0.2">
      <c r="A115" s="25"/>
      <c r="B115" s="26"/>
      <c r="C115" s="26" t="s">
        <v>407</v>
      </c>
      <c r="D115" s="28"/>
      <c r="E115" s="10"/>
      <c r="F115" s="20">
        <f>Source!AL46</f>
        <v>16.82</v>
      </c>
      <c r="G115" s="29" t="str">
        <f>Source!DD46</f>
        <v/>
      </c>
      <c r="H115" s="20">
        <f>ROUND(Source!AC46*Source!I46, 2)</f>
        <v>201.84</v>
      </c>
      <c r="I115" s="29">
        <f>IF(Source!BC46&lt;&gt; 0, Source!BC46, 1)</f>
        <v>8.8000000000000007</v>
      </c>
      <c r="J115" s="20">
        <f>Source!P46</f>
        <v>1776.19</v>
      </c>
    </row>
    <row r="116" spans="1:21" ht="54" x14ac:dyDescent="0.2">
      <c r="A116" s="25" t="str">
        <f>Source!E47</f>
        <v>10,1</v>
      </c>
      <c r="B116" s="26" t="str">
        <f>Source!F47</f>
        <v>КА п. 1</v>
      </c>
      <c r="C116" s="26" t="s">
        <v>408</v>
      </c>
      <c r="D116" s="28" t="str">
        <f>Source!H47</f>
        <v>ШТ</v>
      </c>
      <c r="E116" s="10">
        <f>Source!I47</f>
        <v>12</v>
      </c>
      <c r="F116" s="20">
        <f>Source!AK47</f>
        <v>520.31000000000006</v>
      </c>
      <c r="G116" s="30" t="s">
        <v>3</v>
      </c>
      <c r="H116" s="20">
        <f>ROUND(Source!AC47*Source!I47, 2)+ROUND(Source!AD47*Source!I47, 2)+ROUND(Source!AF47*Source!I47, 2)</f>
        <v>6243.72</v>
      </c>
      <c r="I116" s="29">
        <f>IF(Source!BC47&lt;&gt; 0, Source!BC47, 1)</f>
        <v>7.24</v>
      </c>
      <c r="J116" s="20">
        <f>Source!O47</f>
        <v>45204.53</v>
      </c>
      <c r="R116">
        <f>ROUND((Source!FX47/100)*((ROUND(Source!AF47*Source!I47, 2)+ROUND(Source!AE47*Source!I47, 2))), 2)</f>
        <v>0</v>
      </c>
      <c r="S116">
        <f>Source!X47</f>
        <v>0</v>
      </c>
      <c r="T116">
        <f>ROUND((Source!FY47/100)*((ROUND(Source!AF47*Source!I47, 2)+ROUND(Source!AE47*Source!I47, 2))), 2)</f>
        <v>0</v>
      </c>
      <c r="U116">
        <f>Source!Y47</f>
        <v>0</v>
      </c>
    </row>
    <row r="117" spans="1:21" ht="14.25" x14ac:dyDescent="0.2">
      <c r="A117" s="25"/>
      <c r="B117" s="26"/>
      <c r="C117" s="26" t="str">
        <f>CONCATENATE("НР от ФОТ [к тек. уровню ", Source!FV46, "]")</f>
        <v>НР от ФОТ [к тек. уровню *0,85]</v>
      </c>
      <c r="D117" s="28" t="s">
        <v>401</v>
      </c>
      <c r="E117" s="10">
        <f>Source!BZ46</f>
        <v>95</v>
      </c>
      <c r="F117" s="20"/>
      <c r="G117" s="29"/>
      <c r="H117" s="20">
        <f>SUM(R111:R116)</f>
        <v>609.44000000000005</v>
      </c>
      <c r="I117" s="29">
        <f>Source!AT46</f>
        <v>81</v>
      </c>
      <c r="J117" s="20">
        <f>SUM(S111:S116)</f>
        <v>12845.29</v>
      </c>
    </row>
    <row r="118" spans="1:21" ht="14.25" x14ac:dyDescent="0.2">
      <c r="A118" s="25"/>
      <c r="B118" s="26"/>
      <c r="C118" s="26" t="str">
        <f>CONCATENATE("СП от ФОТ [к тек. уровню ", Source!FW46, "]")</f>
        <v>СП от ФОТ [к тек. уровню *0,8]</v>
      </c>
      <c r="D118" s="28" t="s">
        <v>401</v>
      </c>
      <c r="E118" s="10">
        <f>Source!CA46</f>
        <v>65</v>
      </c>
      <c r="F118" s="20"/>
      <c r="G118" s="29"/>
      <c r="H118" s="20">
        <f>SUM(T111:T117)</f>
        <v>416.99</v>
      </c>
      <c r="I118" s="29">
        <f>Source!AU46</f>
        <v>52</v>
      </c>
      <c r="J118" s="20">
        <f>SUM(U111:U117)</f>
        <v>8246.36</v>
      </c>
    </row>
    <row r="119" spans="1:21" ht="14.25" x14ac:dyDescent="0.2">
      <c r="A119" s="33"/>
      <c r="B119" s="34"/>
      <c r="C119" s="34" t="s">
        <v>402</v>
      </c>
      <c r="D119" s="35" t="s">
        <v>403</v>
      </c>
      <c r="E119" s="36">
        <f>Source!AQ46</f>
        <v>5.53</v>
      </c>
      <c r="F119" s="37"/>
      <c r="G119" s="38" t="str">
        <f>Source!DI46</f>
        <v/>
      </c>
      <c r="H119" s="37">
        <f>Source!U46</f>
        <v>66.36</v>
      </c>
      <c r="I119" s="38"/>
      <c r="J119" s="37"/>
    </row>
    <row r="120" spans="1:21" ht="15" x14ac:dyDescent="0.25">
      <c r="C120" s="31" t="s">
        <v>404</v>
      </c>
      <c r="G120" s="43">
        <f>ROUND(Source!AC46*Source!I46, 2)+ROUND(Source!AF46*Source!I46, 2)+ROUND(Source!AD46*Source!I46, 2)+SUM(H116:H118)</f>
        <v>8131.75</v>
      </c>
      <c r="H120" s="43"/>
      <c r="I120" s="43">
        <f>Source!P46+Source!Q46+Source!S46+SUM(J116:J118)</f>
        <v>84047.139999999985</v>
      </c>
      <c r="J120" s="43"/>
      <c r="O120" s="32">
        <f>G120</f>
        <v>8131.75</v>
      </c>
      <c r="P120" s="32">
        <f>I120</f>
        <v>84047.139999999985</v>
      </c>
    </row>
    <row r="121" spans="1:21" ht="28.5" x14ac:dyDescent="0.2">
      <c r="A121" s="25" t="str">
        <f>Source!E48</f>
        <v>11</v>
      </c>
      <c r="B121" s="26" t="str">
        <f>Source!F48</f>
        <v>26-02-022-01</v>
      </c>
      <c r="C121" s="26" t="str">
        <f>Source!G48</f>
        <v>Огнезащитное покрытие толщиной слоя 1 мм кабелей и проводов</v>
      </c>
      <c r="D121" s="28" t="str">
        <f>Source!H48</f>
        <v>100 м2</v>
      </c>
      <c r="E121" s="10">
        <f>Source!I48</f>
        <v>0.108</v>
      </c>
      <c r="F121" s="20"/>
      <c r="G121" s="29"/>
      <c r="H121" s="20"/>
      <c r="I121" s="29" t="str">
        <f>Source!BO48</f>
        <v>26-02-022-01</v>
      </c>
      <c r="J121" s="20"/>
      <c r="R121">
        <f>ROUND((Source!FX48/100)*((ROUND(Source!AF48*Source!I48, 2)+ROUND(Source!AE48*Source!I48, 2))), 2)</f>
        <v>61.46</v>
      </c>
      <c r="S121">
        <f>Source!X48</f>
        <v>1291.4100000000001</v>
      </c>
      <c r="T121">
        <f>ROUND((Source!FY48/100)*((ROUND(Source!AF48*Source!I48, 2)+ROUND(Source!AE48*Source!I48, 2))), 2)</f>
        <v>43.02</v>
      </c>
      <c r="U121">
        <f>Source!Y48</f>
        <v>850.81</v>
      </c>
    </row>
    <row r="122" spans="1:21" ht="14.25" x14ac:dyDescent="0.2">
      <c r="A122" s="25"/>
      <c r="B122" s="26"/>
      <c r="C122" s="26" t="s">
        <v>400</v>
      </c>
      <c r="D122" s="28"/>
      <c r="E122" s="10"/>
      <c r="F122" s="20">
        <f>Source!AO48</f>
        <v>566.05999999999995</v>
      </c>
      <c r="G122" s="29" t="str">
        <f>Source!DG48</f>
        <v/>
      </c>
      <c r="H122" s="20">
        <f>ROUND(Source!AF48*Source!I48, 2)</f>
        <v>61.13</v>
      </c>
      <c r="I122" s="29">
        <f>IF(Source!BA48&lt;&gt; 0, Source!BA48, 1)</f>
        <v>24.72</v>
      </c>
      <c r="J122" s="20">
        <f>Source!S48</f>
        <v>1511.24</v>
      </c>
      <c r="Q122">
        <f>ROUND(Source!AF48*Source!I48, 2)</f>
        <v>61.13</v>
      </c>
    </row>
    <row r="123" spans="1:21" ht="14.25" x14ac:dyDescent="0.2">
      <c r="A123" s="25"/>
      <c r="B123" s="26"/>
      <c r="C123" s="26" t="s">
        <v>405</v>
      </c>
      <c r="D123" s="28"/>
      <c r="E123" s="10"/>
      <c r="F123" s="20">
        <f>Source!AM48</f>
        <v>188.94</v>
      </c>
      <c r="G123" s="29" t="str">
        <f>Source!DE48</f>
        <v/>
      </c>
      <c r="H123" s="20">
        <f>ROUND(Source!AD48*Source!I48, 2)</f>
        <v>20.41</v>
      </c>
      <c r="I123" s="29">
        <f>IF(Source!BB48&lt;&gt; 0, Source!BB48, 1)</f>
        <v>5.26</v>
      </c>
      <c r="J123" s="20">
        <f>Source!Q48</f>
        <v>107.33</v>
      </c>
    </row>
    <row r="124" spans="1:21" ht="14.25" x14ac:dyDescent="0.2">
      <c r="A124" s="25"/>
      <c r="B124" s="26"/>
      <c r="C124" s="26" t="s">
        <v>406</v>
      </c>
      <c r="D124" s="28"/>
      <c r="E124" s="10"/>
      <c r="F124" s="20">
        <f>Source!AN48</f>
        <v>3.02</v>
      </c>
      <c r="G124" s="29" t="str">
        <f>Source!DF48</f>
        <v/>
      </c>
      <c r="H124" s="39">
        <f>ROUND(Source!AE48*Source!I48, 2)</f>
        <v>0.33</v>
      </c>
      <c r="I124" s="29">
        <f>IF(Source!BS48&lt;&gt; 0, Source!BS48, 1)</f>
        <v>24.72</v>
      </c>
      <c r="J124" s="39">
        <f>Source!R48</f>
        <v>8.06</v>
      </c>
      <c r="Q124">
        <f>ROUND(Source!AE48*Source!I48, 2)</f>
        <v>0.33</v>
      </c>
    </row>
    <row r="125" spans="1:21" ht="14.25" x14ac:dyDescent="0.2">
      <c r="A125" s="25"/>
      <c r="B125" s="26"/>
      <c r="C125" s="26" t="s">
        <v>407</v>
      </c>
      <c r="D125" s="28"/>
      <c r="E125" s="10"/>
      <c r="F125" s="20">
        <f>Source!AL48</f>
        <v>63.71</v>
      </c>
      <c r="G125" s="29" t="str">
        <f>Source!DD48</f>
        <v/>
      </c>
      <c r="H125" s="20">
        <f>ROUND(Source!AC48*Source!I48, 2)</f>
        <v>6.88</v>
      </c>
      <c r="I125" s="29">
        <f>IF(Source!BC48&lt;&gt; 0, Source!BC48, 1)</f>
        <v>8.5399999999999991</v>
      </c>
      <c r="J125" s="20">
        <f>Source!P48</f>
        <v>58.76</v>
      </c>
    </row>
    <row r="126" spans="1:21" ht="28.5" x14ac:dyDescent="0.2">
      <c r="A126" s="25" t="str">
        <f>Source!E49</f>
        <v>11,1</v>
      </c>
      <c r="B126" s="26" t="str">
        <f>Source!F49</f>
        <v>14.2.02.07-0004</v>
      </c>
      <c r="C126" s="26" t="str">
        <f>Source!G49</f>
        <v>Материал огнезащитный терморасширяющийся «Огракс-М»</v>
      </c>
      <c r="D126" s="28" t="str">
        <f>Source!H49</f>
        <v>кг</v>
      </c>
      <c r="E126" s="10">
        <f>Source!I49</f>
        <v>21.6</v>
      </c>
      <c r="F126" s="20">
        <f>Source!AK49</f>
        <v>94.49</v>
      </c>
      <c r="G126" s="30" t="s">
        <v>3</v>
      </c>
      <c r="H126" s="20">
        <f>ROUND(Source!AC49*Source!I49, 2)+ROUND(Source!AD49*Source!I49, 2)+ROUND(Source!AF49*Source!I49, 2)</f>
        <v>2040.98</v>
      </c>
      <c r="I126" s="29">
        <f>IF(Source!BC49&lt;&gt; 0, Source!BC49, 1)</f>
        <v>3.7</v>
      </c>
      <c r="J126" s="20">
        <f>Source!O49</f>
        <v>7551.64</v>
      </c>
      <c r="R126">
        <f>ROUND((Source!FX49/100)*((ROUND(Source!AF49*Source!I49, 2)+ROUND(Source!AE49*Source!I49, 2))), 2)</f>
        <v>0</v>
      </c>
      <c r="S126">
        <f>Source!X49</f>
        <v>0</v>
      </c>
      <c r="T126">
        <f>ROUND((Source!FY49/100)*((ROUND(Source!AF49*Source!I49, 2)+ROUND(Source!AE49*Source!I49, 2))), 2)</f>
        <v>0</v>
      </c>
      <c r="U126">
        <f>Source!Y49</f>
        <v>0</v>
      </c>
    </row>
    <row r="127" spans="1:21" ht="14.25" x14ac:dyDescent="0.2">
      <c r="A127" s="25"/>
      <c r="B127" s="26"/>
      <c r="C127" s="26" t="str">
        <f>CONCATENATE("НР от ФОТ [к тек. уровню ", Source!FV48, "]")</f>
        <v>НР от ФОТ [к тек. уровню *0,85]</v>
      </c>
      <c r="D127" s="28" t="s">
        <v>401</v>
      </c>
      <c r="E127" s="10">
        <f>Source!BZ48</f>
        <v>100</v>
      </c>
      <c r="F127" s="20"/>
      <c r="G127" s="29"/>
      <c r="H127" s="20">
        <f>SUM(R121:R126)</f>
        <v>61.46</v>
      </c>
      <c r="I127" s="29">
        <f>Source!AT48</f>
        <v>85</v>
      </c>
      <c r="J127" s="20">
        <f>SUM(S121:S126)</f>
        <v>1291.4100000000001</v>
      </c>
    </row>
    <row r="128" spans="1:21" ht="14.25" x14ac:dyDescent="0.2">
      <c r="A128" s="25"/>
      <c r="B128" s="26"/>
      <c r="C128" s="26" t="str">
        <f>CONCATENATE("СП от ФОТ [к тек. уровню ", Source!FW48, "]")</f>
        <v>СП от ФОТ [к тек. уровню *0,8]</v>
      </c>
      <c r="D128" s="28" t="s">
        <v>401</v>
      </c>
      <c r="E128" s="10">
        <f>Source!CA48</f>
        <v>70</v>
      </c>
      <c r="F128" s="20"/>
      <c r="G128" s="29"/>
      <c r="H128" s="20">
        <f>SUM(T121:T127)</f>
        <v>43.02</v>
      </c>
      <c r="I128" s="29">
        <f>Source!AU48</f>
        <v>56</v>
      </c>
      <c r="J128" s="20">
        <f>SUM(U121:U127)</f>
        <v>850.81</v>
      </c>
    </row>
    <row r="129" spans="1:21" ht="14.25" x14ac:dyDescent="0.2">
      <c r="A129" s="33"/>
      <c r="B129" s="34"/>
      <c r="C129" s="34" t="s">
        <v>402</v>
      </c>
      <c r="D129" s="35" t="s">
        <v>403</v>
      </c>
      <c r="E129" s="36">
        <f>Source!AQ48</f>
        <v>62.41</v>
      </c>
      <c r="F129" s="37"/>
      <c r="G129" s="38" t="str">
        <f>Source!DI48</f>
        <v/>
      </c>
      <c r="H129" s="37">
        <f>Source!U48</f>
        <v>6.7402799999999994</v>
      </c>
      <c r="I129" s="38"/>
      <c r="J129" s="37"/>
    </row>
    <row r="130" spans="1:21" ht="15" x14ac:dyDescent="0.25">
      <c r="C130" s="31" t="s">
        <v>404</v>
      </c>
      <c r="G130" s="43">
        <f>ROUND(Source!AC48*Source!I48, 2)+ROUND(Source!AF48*Source!I48, 2)+ROUND(Source!AD48*Source!I48, 2)+SUM(H126:H128)</f>
        <v>2233.88</v>
      </c>
      <c r="H130" s="43"/>
      <c r="I130" s="43">
        <f>Source!P48+Source!Q48+Source!S48+SUM(J126:J128)</f>
        <v>11371.19</v>
      </c>
      <c r="J130" s="43"/>
      <c r="O130" s="32">
        <f>G130</f>
        <v>2233.88</v>
      </c>
      <c r="P130" s="32">
        <f>I130</f>
        <v>11371.19</v>
      </c>
    </row>
    <row r="131" spans="1:21" ht="195.75" x14ac:dyDescent="0.2">
      <c r="A131" s="25" t="str">
        <f>Source!E50</f>
        <v>12</v>
      </c>
      <c r="B131" s="26" t="s">
        <v>409</v>
      </c>
      <c r="C131" s="26" t="s">
        <v>410</v>
      </c>
      <c r="D131" s="28" t="str">
        <f>Source!H50</f>
        <v>100 ШТ</v>
      </c>
      <c r="E131" s="10">
        <f>Source!I50</f>
        <v>0.15</v>
      </c>
      <c r="F131" s="20"/>
      <c r="G131" s="29"/>
      <c r="H131" s="20"/>
      <c r="I131" s="29" t="str">
        <f>Source!BO50</f>
        <v>м08-02-144-07</v>
      </c>
      <c r="J131" s="20"/>
      <c r="R131">
        <f>ROUND((Source!FX50/100)*((ROUND(Source!AF50*Source!I50, 2)+ROUND(Source!AE50*Source!I50, 2))), 2)</f>
        <v>29.17</v>
      </c>
      <c r="S131">
        <f>Source!X50</f>
        <v>614.87</v>
      </c>
      <c r="T131">
        <f>ROUND((Source!FY50/100)*((ROUND(Source!AF50*Source!I50, 2)+ROUND(Source!AE50*Source!I50, 2))), 2)</f>
        <v>19.96</v>
      </c>
      <c r="U131">
        <f>Source!Y50</f>
        <v>394.73</v>
      </c>
    </row>
    <row r="132" spans="1:21" ht="14.25" x14ac:dyDescent="0.2">
      <c r="A132" s="25"/>
      <c r="B132" s="26"/>
      <c r="C132" s="26" t="s">
        <v>400</v>
      </c>
      <c r="D132" s="28"/>
      <c r="E132" s="10"/>
      <c r="F132" s="20">
        <f>Source!AO50</f>
        <v>292.45</v>
      </c>
      <c r="G132" s="29" t="str">
        <f>Source!DG50</f>
        <v>)*0,7</v>
      </c>
      <c r="H132" s="20">
        <f>ROUND(Source!AF50*Source!I50, 2)</f>
        <v>30.71</v>
      </c>
      <c r="I132" s="29">
        <f>IF(Source!BA50&lt;&gt; 0, Source!BA50, 1)</f>
        <v>24.72</v>
      </c>
      <c r="J132" s="20">
        <f>Source!S50</f>
        <v>759.1</v>
      </c>
      <c r="Q132">
        <f>ROUND(Source!AF50*Source!I50, 2)</f>
        <v>30.71</v>
      </c>
    </row>
    <row r="133" spans="1:21" ht="14.25" x14ac:dyDescent="0.2">
      <c r="A133" s="25"/>
      <c r="B133" s="26"/>
      <c r="C133" s="26" t="str">
        <f>CONCATENATE("НР от ФОТ [к тек. уровню ", Source!FV50, "]")</f>
        <v>НР от ФОТ [к тек. уровню *0,85]</v>
      </c>
      <c r="D133" s="28" t="s">
        <v>401</v>
      </c>
      <c r="E133" s="10">
        <f>Source!BZ50</f>
        <v>95</v>
      </c>
      <c r="F133" s="20"/>
      <c r="G133" s="29"/>
      <c r="H133" s="20">
        <f>SUM(R131:R132)</f>
        <v>29.17</v>
      </c>
      <c r="I133" s="29">
        <f>Source!AT50</f>
        <v>81</v>
      </c>
      <c r="J133" s="20">
        <f>SUM(S131:S132)</f>
        <v>614.87</v>
      </c>
    </row>
    <row r="134" spans="1:21" ht="14.25" x14ac:dyDescent="0.2">
      <c r="A134" s="25"/>
      <c r="B134" s="26"/>
      <c r="C134" s="26" t="str">
        <f>CONCATENATE("СП от ФОТ [к тек. уровню ", Source!FW50, "]")</f>
        <v>СП от ФОТ [к тек. уровню *0,8]</v>
      </c>
      <c r="D134" s="28" t="s">
        <v>401</v>
      </c>
      <c r="E134" s="10">
        <f>Source!CA50</f>
        <v>65</v>
      </c>
      <c r="F134" s="20"/>
      <c r="G134" s="29"/>
      <c r="H134" s="20">
        <f>SUM(T131:T133)</f>
        <v>19.96</v>
      </c>
      <c r="I134" s="29">
        <f>Source!AU50</f>
        <v>52</v>
      </c>
      <c r="J134" s="20">
        <f>SUM(U131:U133)</f>
        <v>394.73</v>
      </c>
    </row>
    <row r="135" spans="1:21" ht="14.25" x14ac:dyDescent="0.2">
      <c r="A135" s="33"/>
      <c r="B135" s="34"/>
      <c r="C135" s="34" t="s">
        <v>402</v>
      </c>
      <c r="D135" s="35" t="s">
        <v>403</v>
      </c>
      <c r="E135" s="36">
        <f>Source!AQ50</f>
        <v>30.4</v>
      </c>
      <c r="F135" s="37"/>
      <c r="G135" s="38" t="str">
        <f>Source!DI50</f>
        <v>)*0,7</v>
      </c>
      <c r="H135" s="37">
        <f>Source!U50</f>
        <v>3.1919999999999997</v>
      </c>
      <c r="I135" s="38"/>
      <c r="J135" s="37"/>
    </row>
    <row r="136" spans="1:21" ht="15" x14ac:dyDescent="0.25">
      <c r="C136" s="31" t="s">
        <v>404</v>
      </c>
      <c r="G136" s="43">
        <f>ROUND(Source!AC50*Source!I50, 2)+ROUND(Source!AF50*Source!I50, 2)+ROUND(Source!AD50*Source!I50, 2)+SUM(H133:H134)</f>
        <v>79.84</v>
      </c>
      <c r="H136" s="43"/>
      <c r="I136" s="43">
        <f>Source!P50+Source!Q50+Source!S50+SUM(J133:J134)</f>
        <v>1768.7</v>
      </c>
      <c r="J136" s="43"/>
      <c r="O136" s="32">
        <f>G136</f>
        <v>79.84</v>
      </c>
      <c r="P136" s="32">
        <f>I136</f>
        <v>1768.7</v>
      </c>
    </row>
    <row r="138" spans="1:21" ht="15" x14ac:dyDescent="0.25">
      <c r="A138" s="42" t="str">
        <f>CONCATENATE("Итого по разделу: ",IF(Source!G52&lt;&gt;"Новый раздел", Source!G52, ""))</f>
        <v>Итого по разделу: РУ 0,4 кВ №1</v>
      </c>
      <c r="B138" s="42"/>
      <c r="C138" s="42"/>
      <c r="D138" s="42"/>
      <c r="E138" s="42"/>
      <c r="F138" s="42"/>
      <c r="G138" s="43">
        <f>SUM(O34:O137)</f>
        <v>22738.65</v>
      </c>
      <c r="H138" s="43"/>
      <c r="I138" s="43">
        <f>SUM(P34:P137)</f>
        <v>182211.86000000002</v>
      </c>
      <c r="J138" s="43"/>
    </row>
    <row r="142" spans="1:21" ht="16.5" x14ac:dyDescent="0.25">
      <c r="A142" s="47" t="str">
        <f>CONCATENATE("Раздел: ",IF(Source!G81&lt;&gt;"Новый раздел", Source!G81, ""))</f>
        <v>Раздел: Ру 0,4 кВ №2</v>
      </c>
      <c r="B142" s="47"/>
      <c r="C142" s="47"/>
      <c r="D142" s="47"/>
      <c r="E142" s="47"/>
      <c r="F142" s="47"/>
      <c r="G142" s="47"/>
      <c r="H142" s="47"/>
      <c r="I142" s="47"/>
      <c r="J142" s="47"/>
    </row>
    <row r="143" spans="1:21" ht="42.75" x14ac:dyDescent="0.2">
      <c r="A143" s="25" t="str">
        <f>Source!E85</f>
        <v>13</v>
      </c>
      <c r="B143" s="26" t="str">
        <f>Source!F85</f>
        <v>м08-02-144-06</v>
      </c>
      <c r="C143" s="26" t="str">
        <f>Source!G85</f>
        <v>Присоединение к зажимам жил проводов или кабелей сечением до 150 мм2</v>
      </c>
      <c r="D143" s="28" t="str">
        <f>Source!H85</f>
        <v>100 ШТ</v>
      </c>
      <c r="E143" s="10">
        <f>Source!I85</f>
        <v>0.08</v>
      </c>
      <c r="F143" s="20"/>
      <c r="G143" s="29"/>
      <c r="H143" s="20"/>
      <c r="I143" s="29" t="str">
        <f>Source!BO85</f>
        <v>м08-02-144-06</v>
      </c>
      <c r="J143" s="20"/>
      <c r="R143">
        <f>ROUND((Source!FX85/100)*((ROUND(Source!AF85*Source!I85, 2)+ROUND(Source!AE85*Source!I85, 2))), 2)</f>
        <v>16.62</v>
      </c>
      <c r="S143">
        <f>Source!X85</f>
        <v>350.11</v>
      </c>
      <c r="T143">
        <f>ROUND((Source!FY85/100)*((ROUND(Source!AF85*Source!I85, 2)+ROUND(Source!AE85*Source!I85, 2))), 2)</f>
        <v>11.37</v>
      </c>
      <c r="U143">
        <f>Source!Y85</f>
        <v>224.76</v>
      </c>
    </row>
    <row r="144" spans="1:21" ht="14.25" x14ac:dyDescent="0.2">
      <c r="A144" s="25"/>
      <c r="B144" s="26"/>
      <c r="C144" s="26" t="s">
        <v>400</v>
      </c>
      <c r="D144" s="28"/>
      <c r="E144" s="10"/>
      <c r="F144" s="20">
        <f>Source!AO85</f>
        <v>218.57</v>
      </c>
      <c r="G144" s="29" t="str">
        <f>Source!DG85</f>
        <v/>
      </c>
      <c r="H144" s="20">
        <f>ROUND(Source!AF85*Source!I85, 2)</f>
        <v>17.489999999999998</v>
      </c>
      <c r="I144" s="29">
        <f>IF(Source!BA85&lt;&gt; 0, Source!BA85, 1)</f>
        <v>24.72</v>
      </c>
      <c r="J144" s="20">
        <f>Source!S85</f>
        <v>432.24</v>
      </c>
      <c r="Q144">
        <f>ROUND(Source!AF85*Source!I85, 2)</f>
        <v>17.489999999999998</v>
      </c>
    </row>
    <row r="145" spans="1:21" ht="14.25" x14ac:dyDescent="0.2">
      <c r="A145" s="25"/>
      <c r="B145" s="26"/>
      <c r="C145" s="26" t="s">
        <v>407</v>
      </c>
      <c r="D145" s="28"/>
      <c r="E145" s="10"/>
      <c r="F145" s="20">
        <f>Source!AL85</f>
        <v>4.37</v>
      </c>
      <c r="G145" s="29" t="str">
        <f>Source!DD85</f>
        <v/>
      </c>
      <c r="H145" s="20">
        <f>ROUND(Source!AC85*Source!I85, 2)</f>
        <v>0.35</v>
      </c>
      <c r="I145" s="29">
        <f>IF(Source!BC85&lt;&gt; 0, Source!BC85, 1)</f>
        <v>24.73</v>
      </c>
      <c r="J145" s="20">
        <f>Source!P85</f>
        <v>8.65</v>
      </c>
    </row>
    <row r="146" spans="1:21" ht="28.5" x14ac:dyDescent="0.2">
      <c r="A146" s="25" t="str">
        <f>Source!E86</f>
        <v>13,1</v>
      </c>
      <c r="B146" s="26" t="str">
        <f>Source!F86</f>
        <v>20.2.10.04-0009</v>
      </c>
      <c r="C146" s="26" t="str">
        <f>Source!G86</f>
        <v>Наконечники кабельные медные луженные ТМЛ-95</v>
      </c>
      <c r="D146" s="28" t="str">
        <f>Source!H86</f>
        <v>100 шт.</v>
      </c>
      <c r="E146" s="10">
        <f>Source!I86</f>
        <v>0.08</v>
      </c>
      <c r="F146" s="20">
        <f>Source!AK86</f>
        <v>1490</v>
      </c>
      <c r="G146" s="30" t="s">
        <v>3</v>
      </c>
      <c r="H146" s="20">
        <f>ROUND(Source!AC86*Source!I86, 2)+ROUND(Source!AD86*Source!I86, 2)+ROUND(Source!AF86*Source!I86, 2)</f>
        <v>119.2</v>
      </c>
      <c r="I146" s="29">
        <f>IF(Source!BC86&lt;&gt; 0, Source!BC86, 1)</f>
        <v>3.91</v>
      </c>
      <c r="J146" s="20">
        <f>Source!O86</f>
        <v>466.07</v>
      </c>
      <c r="R146">
        <f>ROUND((Source!FX86/100)*((ROUND(Source!AF86*Source!I86, 2)+ROUND(Source!AE86*Source!I86, 2))), 2)</f>
        <v>0</v>
      </c>
      <c r="S146">
        <f>Source!X86</f>
        <v>0</v>
      </c>
      <c r="T146">
        <f>ROUND((Source!FY86/100)*((ROUND(Source!AF86*Source!I86, 2)+ROUND(Source!AE86*Source!I86, 2))), 2)</f>
        <v>0</v>
      </c>
      <c r="U146">
        <f>Source!Y86</f>
        <v>0</v>
      </c>
    </row>
    <row r="147" spans="1:21" ht="14.25" x14ac:dyDescent="0.2">
      <c r="A147" s="25"/>
      <c r="B147" s="26"/>
      <c r="C147" s="26" t="str">
        <f>CONCATENATE("НР от ФОТ [к тек. уровню ", Source!FV85, "]")</f>
        <v>НР от ФОТ [к тек. уровню *0,85]</v>
      </c>
      <c r="D147" s="28" t="s">
        <v>401</v>
      </c>
      <c r="E147" s="10">
        <f>Source!BZ85</f>
        <v>95</v>
      </c>
      <c r="F147" s="20"/>
      <c r="G147" s="29"/>
      <c r="H147" s="20">
        <f>SUM(R143:R146)</f>
        <v>16.62</v>
      </c>
      <c r="I147" s="29">
        <f>Source!AT85</f>
        <v>81</v>
      </c>
      <c r="J147" s="20">
        <f>SUM(S143:S146)</f>
        <v>350.11</v>
      </c>
    </row>
    <row r="148" spans="1:21" ht="14.25" x14ac:dyDescent="0.2">
      <c r="A148" s="25"/>
      <c r="B148" s="26"/>
      <c r="C148" s="26" t="str">
        <f>CONCATENATE("СП от ФОТ [к тек. уровню ", Source!FW85, "]")</f>
        <v>СП от ФОТ [к тек. уровню *0,8]</v>
      </c>
      <c r="D148" s="28" t="s">
        <v>401</v>
      </c>
      <c r="E148" s="10">
        <f>Source!CA85</f>
        <v>65</v>
      </c>
      <c r="F148" s="20"/>
      <c r="G148" s="29"/>
      <c r="H148" s="20">
        <f>SUM(T143:T147)</f>
        <v>11.37</v>
      </c>
      <c r="I148" s="29">
        <f>Source!AU85</f>
        <v>52</v>
      </c>
      <c r="J148" s="20">
        <f>SUM(U143:U147)</f>
        <v>224.76</v>
      </c>
    </row>
    <row r="149" spans="1:21" ht="14.25" x14ac:dyDescent="0.2">
      <c r="A149" s="33"/>
      <c r="B149" s="34"/>
      <c r="C149" s="34" t="s">
        <v>402</v>
      </c>
      <c r="D149" s="35" t="s">
        <v>403</v>
      </c>
      <c r="E149" s="36">
        <f>Source!AQ85</f>
        <v>22.72</v>
      </c>
      <c r="F149" s="37"/>
      <c r="G149" s="38" t="str">
        <f>Source!DI85</f>
        <v/>
      </c>
      <c r="H149" s="37">
        <f>Source!U85</f>
        <v>1.8175999999999999</v>
      </c>
      <c r="I149" s="38"/>
      <c r="J149" s="37"/>
    </row>
    <row r="150" spans="1:21" ht="15" x14ac:dyDescent="0.25">
      <c r="C150" s="31" t="s">
        <v>404</v>
      </c>
      <c r="G150" s="43">
        <f>ROUND(Source!AC85*Source!I85, 2)+ROUND(Source!AF85*Source!I85, 2)+ROUND(Source!AD85*Source!I85, 2)+SUM(H146:H148)</f>
        <v>165.03</v>
      </c>
      <c r="H150" s="43"/>
      <c r="I150" s="43">
        <f>Source!P85+Source!Q85+Source!S85+SUM(J146:J148)</f>
        <v>1481.83</v>
      </c>
      <c r="J150" s="43"/>
      <c r="O150" s="32">
        <f>G150</f>
        <v>165.03</v>
      </c>
      <c r="P150" s="32">
        <f>I150</f>
        <v>1481.83</v>
      </c>
    </row>
    <row r="151" spans="1:21" ht="28.5" x14ac:dyDescent="0.2">
      <c r="A151" s="25" t="str">
        <f>Source!E87</f>
        <v>14</v>
      </c>
      <c r="B151" s="26" t="str">
        <f>Source!F87</f>
        <v>м08-02-200-01</v>
      </c>
      <c r="C151" s="26" t="str">
        <f>Source!G87</f>
        <v>Монтаж термоусаживаемой манжеты из трубки для кабеля</v>
      </c>
      <c r="D151" s="28" t="str">
        <f>Source!H87</f>
        <v>ШТ</v>
      </c>
      <c r="E151" s="10">
        <f>Source!I87</f>
        <v>8</v>
      </c>
      <c r="F151" s="20"/>
      <c r="G151" s="29"/>
      <c r="H151" s="20"/>
      <c r="I151" s="29" t="str">
        <f>Source!BO87</f>
        <v>м08-02-200-01</v>
      </c>
      <c r="J151" s="20"/>
      <c r="R151">
        <f>ROUND((Source!FX87/100)*((ROUND(Source!AF87*Source!I87, 2)+ROUND(Source!AE87*Source!I87, 2))), 2)</f>
        <v>40.659999999999997</v>
      </c>
      <c r="S151">
        <f>Source!X87</f>
        <v>857</v>
      </c>
      <c r="T151">
        <f>ROUND((Source!FY87/100)*((ROUND(Source!AF87*Source!I87, 2)+ROUND(Source!AE87*Source!I87, 2))), 2)</f>
        <v>27.82</v>
      </c>
      <c r="U151">
        <f>Source!Y87</f>
        <v>550.16999999999996</v>
      </c>
    </row>
    <row r="152" spans="1:21" ht="14.25" x14ac:dyDescent="0.2">
      <c r="A152" s="25"/>
      <c r="B152" s="26"/>
      <c r="C152" s="26" t="s">
        <v>400</v>
      </c>
      <c r="D152" s="28"/>
      <c r="E152" s="10"/>
      <c r="F152" s="20">
        <f>Source!AO87</f>
        <v>5.35</v>
      </c>
      <c r="G152" s="29" t="str">
        <f>Source!DG87</f>
        <v/>
      </c>
      <c r="H152" s="20">
        <f>ROUND(Source!AF87*Source!I87, 2)</f>
        <v>42.8</v>
      </c>
      <c r="I152" s="29">
        <f>IF(Source!BA87&lt;&gt; 0, Source!BA87, 1)</f>
        <v>24.72</v>
      </c>
      <c r="J152" s="20">
        <f>Source!S87</f>
        <v>1058.02</v>
      </c>
      <c r="Q152">
        <f>ROUND(Source!AF87*Source!I87, 2)</f>
        <v>42.8</v>
      </c>
    </row>
    <row r="153" spans="1:21" ht="14.25" x14ac:dyDescent="0.2">
      <c r="A153" s="25"/>
      <c r="B153" s="26"/>
      <c r="C153" s="26" t="s">
        <v>407</v>
      </c>
      <c r="D153" s="28"/>
      <c r="E153" s="10"/>
      <c r="F153" s="20">
        <f>Source!AL87</f>
        <v>0.94</v>
      </c>
      <c r="G153" s="29" t="str">
        <f>Source!DD87</f>
        <v/>
      </c>
      <c r="H153" s="20">
        <f>ROUND(Source!AC87*Source!I87, 2)</f>
        <v>7.52</v>
      </c>
      <c r="I153" s="29">
        <f>IF(Source!BC87&lt;&gt; 0, Source!BC87, 1)</f>
        <v>9.07</v>
      </c>
      <c r="J153" s="20">
        <f>Source!P87</f>
        <v>68.209999999999994</v>
      </c>
    </row>
    <row r="154" spans="1:21" ht="28.5" x14ac:dyDescent="0.2">
      <c r="A154" s="25" t="str">
        <f>Source!E88</f>
        <v>14,1</v>
      </c>
      <c r="B154" s="26" t="str">
        <f>Source!F88</f>
        <v>24.3.05.06-0041</v>
      </c>
      <c r="C154" s="26" t="str">
        <f>Source!G88</f>
        <v>Манжета термоусаживаемая</v>
      </c>
      <c r="D154" s="28" t="str">
        <f>Source!H88</f>
        <v>шт.</v>
      </c>
      <c r="E154" s="10">
        <f>Source!I88</f>
        <v>8</v>
      </c>
      <c r="F154" s="20">
        <f>Source!AK88</f>
        <v>38</v>
      </c>
      <c r="G154" s="30" t="s">
        <v>3</v>
      </c>
      <c r="H154" s="20">
        <f>ROUND(Source!AC88*Source!I88, 2)+ROUND(Source!AD88*Source!I88, 2)+ROUND(Source!AF88*Source!I88, 2)</f>
        <v>304</v>
      </c>
      <c r="I154" s="29">
        <f>IF(Source!BC88&lt;&gt; 0, Source!BC88, 1)</f>
        <v>2.73</v>
      </c>
      <c r="J154" s="20">
        <f>Source!O88</f>
        <v>829.92</v>
      </c>
      <c r="R154">
        <f>ROUND((Source!FX88/100)*((ROUND(Source!AF88*Source!I88, 2)+ROUND(Source!AE88*Source!I88, 2))), 2)</f>
        <v>0</v>
      </c>
      <c r="S154">
        <f>Source!X88</f>
        <v>0</v>
      </c>
      <c r="T154">
        <f>ROUND((Source!FY88/100)*((ROUND(Source!AF88*Source!I88, 2)+ROUND(Source!AE88*Source!I88, 2))), 2)</f>
        <v>0</v>
      </c>
      <c r="U154">
        <f>Source!Y88</f>
        <v>0</v>
      </c>
    </row>
    <row r="155" spans="1:21" ht="14.25" x14ac:dyDescent="0.2">
      <c r="A155" s="25"/>
      <c r="B155" s="26"/>
      <c r="C155" s="26" t="str">
        <f>CONCATENATE("НР от ФОТ [к тек. уровню ", Source!FV87, "]")</f>
        <v>НР от ФОТ [к тек. уровню *0,85]</v>
      </c>
      <c r="D155" s="28" t="s">
        <v>401</v>
      </c>
      <c r="E155" s="10">
        <f>Source!BZ87</f>
        <v>95</v>
      </c>
      <c r="F155" s="20"/>
      <c r="G155" s="29"/>
      <c r="H155" s="20">
        <f>SUM(R151:R154)</f>
        <v>40.659999999999997</v>
      </c>
      <c r="I155" s="29">
        <f>Source!AT87</f>
        <v>81</v>
      </c>
      <c r="J155" s="20">
        <f>SUM(S151:S154)</f>
        <v>857</v>
      </c>
    </row>
    <row r="156" spans="1:21" ht="14.25" x14ac:dyDescent="0.2">
      <c r="A156" s="25"/>
      <c r="B156" s="26"/>
      <c r="C156" s="26" t="str">
        <f>CONCATENATE("СП от ФОТ [к тек. уровню ", Source!FW87, "]")</f>
        <v>СП от ФОТ [к тек. уровню *0,8]</v>
      </c>
      <c r="D156" s="28" t="s">
        <v>401</v>
      </c>
      <c r="E156" s="10">
        <f>Source!CA87</f>
        <v>65</v>
      </c>
      <c r="F156" s="20"/>
      <c r="G156" s="29"/>
      <c r="H156" s="20">
        <f>SUM(T151:T155)</f>
        <v>27.82</v>
      </c>
      <c r="I156" s="29">
        <f>Source!AU87</f>
        <v>52</v>
      </c>
      <c r="J156" s="20">
        <f>SUM(U151:U155)</f>
        <v>550.16999999999996</v>
      </c>
    </row>
    <row r="157" spans="1:21" ht="14.25" x14ac:dyDescent="0.2">
      <c r="A157" s="33"/>
      <c r="B157" s="34"/>
      <c r="C157" s="34" t="s">
        <v>402</v>
      </c>
      <c r="D157" s="35" t="s">
        <v>403</v>
      </c>
      <c r="E157" s="36">
        <f>Source!AQ87</f>
        <v>0.59</v>
      </c>
      <c r="F157" s="37"/>
      <c r="G157" s="38" t="str">
        <f>Source!DI87</f>
        <v/>
      </c>
      <c r="H157" s="37">
        <f>Source!U87</f>
        <v>4.72</v>
      </c>
      <c r="I157" s="38"/>
      <c r="J157" s="37"/>
    </row>
    <row r="158" spans="1:21" ht="15" x14ac:dyDescent="0.25">
      <c r="C158" s="31" t="s">
        <v>404</v>
      </c>
      <c r="G158" s="43">
        <f>ROUND(Source!AC87*Source!I87, 2)+ROUND(Source!AF87*Source!I87, 2)+ROUND(Source!AD87*Source!I87, 2)+SUM(H154:H156)</f>
        <v>422.79999999999995</v>
      </c>
      <c r="H158" s="43"/>
      <c r="I158" s="43">
        <f>Source!P87+Source!Q87+Source!S87+SUM(J154:J156)</f>
        <v>3363.32</v>
      </c>
      <c r="J158" s="43"/>
      <c r="O158" s="32">
        <f>G158</f>
        <v>422.79999999999995</v>
      </c>
      <c r="P158" s="32">
        <f>I158</f>
        <v>3363.32</v>
      </c>
    </row>
    <row r="159" spans="1:21" ht="57" x14ac:dyDescent="0.2">
      <c r="A159" s="25" t="str">
        <f>Source!E89</f>
        <v>15</v>
      </c>
      <c r="B159" s="26" t="str">
        <f>Source!F89</f>
        <v>м08-02-147-02</v>
      </c>
      <c r="C159" s="26" t="str">
        <f>Source!G89</f>
        <v>Кабель до 35 кВ по установленным конструкциям и лоткам с креплением на поворотах и в конце трассы, масса 1 м кабеля до 2 кг</v>
      </c>
      <c r="D159" s="28" t="str">
        <f>Source!H89</f>
        <v>100 м</v>
      </c>
      <c r="E159" s="10">
        <f>Source!I89</f>
        <v>0.12</v>
      </c>
      <c r="F159" s="20"/>
      <c r="G159" s="29"/>
      <c r="H159" s="20"/>
      <c r="I159" s="29" t="str">
        <f>Source!BO89</f>
        <v>м08-02-147-02</v>
      </c>
      <c r="J159" s="20"/>
      <c r="R159">
        <f>ROUND((Source!FX89/100)*((ROUND(Source!AF89*Source!I89, 2)+ROUND(Source!AE89*Source!I89, 2))), 2)</f>
        <v>14.18</v>
      </c>
      <c r="S159">
        <f>Source!X89</f>
        <v>298.91000000000003</v>
      </c>
      <c r="T159">
        <f>ROUND((Source!FY89/100)*((ROUND(Source!AF89*Source!I89, 2)+ROUND(Source!AE89*Source!I89, 2))), 2)</f>
        <v>9.6999999999999993</v>
      </c>
      <c r="U159">
        <f>Source!Y89</f>
        <v>191.89</v>
      </c>
    </row>
    <row r="160" spans="1:21" ht="14.25" x14ac:dyDescent="0.2">
      <c r="A160" s="25"/>
      <c r="B160" s="26"/>
      <c r="C160" s="26" t="s">
        <v>400</v>
      </c>
      <c r="D160" s="28"/>
      <c r="E160" s="10"/>
      <c r="F160" s="20">
        <f>Source!AO89</f>
        <v>119.38</v>
      </c>
      <c r="G160" s="29" t="str">
        <f>Source!DG89</f>
        <v/>
      </c>
      <c r="H160" s="20">
        <f>ROUND(Source!AF89*Source!I89, 2)</f>
        <v>14.33</v>
      </c>
      <c r="I160" s="29">
        <f>IF(Source!BA89&lt;&gt; 0, Source!BA89, 1)</f>
        <v>24.72</v>
      </c>
      <c r="J160" s="20">
        <f>Source!S89</f>
        <v>354.13</v>
      </c>
      <c r="Q160">
        <f>ROUND(Source!AF89*Source!I89, 2)</f>
        <v>14.33</v>
      </c>
    </row>
    <row r="161" spans="1:21" ht="14.25" x14ac:dyDescent="0.2">
      <c r="A161" s="25"/>
      <c r="B161" s="26"/>
      <c r="C161" s="26" t="s">
        <v>405</v>
      </c>
      <c r="D161" s="28"/>
      <c r="E161" s="10"/>
      <c r="F161" s="20">
        <f>Source!AM89</f>
        <v>47.58</v>
      </c>
      <c r="G161" s="29" t="str">
        <f>Source!DE89</f>
        <v/>
      </c>
      <c r="H161" s="20">
        <f>ROUND(Source!AD89*Source!I89, 2)</f>
        <v>5.71</v>
      </c>
      <c r="I161" s="29">
        <f>IF(Source!BB89&lt;&gt; 0, Source!BB89, 1)</f>
        <v>9.34</v>
      </c>
      <c r="J161" s="20">
        <f>Source!Q89</f>
        <v>53.33</v>
      </c>
    </row>
    <row r="162" spans="1:21" ht="14.25" x14ac:dyDescent="0.2">
      <c r="A162" s="25"/>
      <c r="B162" s="26"/>
      <c r="C162" s="26" t="s">
        <v>406</v>
      </c>
      <c r="D162" s="28"/>
      <c r="E162" s="10"/>
      <c r="F162" s="20">
        <f>Source!AN89</f>
        <v>5.0199999999999996</v>
      </c>
      <c r="G162" s="29" t="str">
        <f>Source!DF89</f>
        <v/>
      </c>
      <c r="H162" s="39">
        <f>ROUND(Source!AE89*Source!I89, 2)</f>
        <v>0.6</v>
      </c>
      <c r="I162" s="29">
        <f>IF(Source!BS89&lt;&gt; 0, Source!BS89, 1)</f>
        <v>24.72</v>
      </c>
      <c r="J162" s="39">
        <f>Source!R89</f>
        <v>14.89</v>
      </c>
      <c r="Q162">
        <f>ROUND(Source!AE89*Source!I89, 2)</f>
        <v>0.6</v>
      </c>
    </row>
    <row r="163" spans="1:21" ht="14.25" x14ac:dyDescent="0.2">
      <c r="A163" s="25"/>
      <c r="B163" s="26"/>
      <c r="C163" s="26" t="s">
        <v>407</v>
      </c>
      <c r="D163" s="28"/>
      <c r="E163" s="10"/>
      <c r="F163" s="20">
        <f>Source!AL89</f>
        <v>29.35</v>
      </c>
      <c r="G163" s="29" t="str">
        <f>Source!DD89</f>
        <v/>
      </c>
      <c r="H163" s="20">
        <f>ROUND(Source!AC89*Source!I89, 2)</f>
        <v>3.52</v>
      </c>
      <c r="I163" s="29">
        <f>IF(Source!BC89&lt;&gt; 0, Source!BC89, 1)</f>
        <v>9.75</v>
      </c>
      <c r="J163" s="20">
        <f>Source!P89</f>
        <v>34.340000000000003</v>
      </c>
    </row>
    <row r="164" spans="1:21" ht="99.75" x14ac:dyDescent="0.2">
      <c r="A164" s="25" t="str">
        <f>Source!E90</f>
        <v>15,1</v>
      </c>
      <c r="B164" s="26" t="str">
        <f>Source!F90</f>
        <v>21.1.06.08-0413</v>
      </c>
      <c r="C164" s="26" t="str">
        <f>Source!G90</f>
        <v>Кабель силовой с алюминиевыми жилами с поливинилхлоридной изоляцией и оболочкой, не распространяющий горение, с низким дымо- и газовыделением марки АВВГнг-LS, с числом жил - 4 и сечением 95 мм2</v>
      </c>
      <c r="D164" s="28" t="str">
        <f>Source!H90</f>
        <v>1000 м</v>
      </c>
      <c r="E164" s="10">
        <f>Source!I90</f>
        <v>1.2239999999999999E-2</v>
      </c>
      <c r="F164" s="20">
        <f>Source!AK90</f>
        <v>76271.44</v>
      </c>
      <c r="G164" s="30" t="s">
        <v>3</v>
      </c>
      <c r="H164" s="20">
        <f>ROUND(Source!AC90*Source!I90, 2)+ROUND(Source!AD90*Source!I90, 2)+ROUND(Source!AF90*Source!I90, 2)</f>
        <v>933.56</v>
      </c>
      <c r="I164" s="29">
        <f>IF(Source!BC90&lt;&gt; 0, Source!BC90, 1)</f>
        <v>4.3</v>
      </c>
      <c r="J164" s="20">
        <f>Source!O90</f>
        <v>4014.32</v>
      </c>
      <c r="R164">
        <f>ROUND((Source!FX90/100)*((ROUND(Source!AF90*Source!I90, 2)+ROUND(Source!AE90*Source!I90, 2))), 2)</f>
        <v>0</v>
      </c>
      <c r="S164">
        <f>Source!X90</f>
        <v>0</v>
      </c>
      <c r="T164">
        <f>ROUND((Source!FY90/100)*((ROUND(Source!AF90*Source!I90, 2)+ROUND(Source!AE90*Source!I90, 2))), 2)</f>
        <v>0</v>
      </c>
      <c r="U164">
        <f>Source!Y90</f>
        <v>0</v>
      </c>
    </row>
    <row r="165" spans="1:21" ht="14.25" x14ac:dyDescent="0.2">
      <c r="A165" s="25"/>
      <c r="B165" s="26"/>
      <c r="C165" s="26" t="str">
        <f>CONCATENATE("НР от ФОТ [к тек. уровню ", Source!FV89, "]")</f>
        <v>НР от ФОТ [к тек. уровню *0,85]</v>
      </c>
      <c r="D165" s="28" t="s">
        <v>401</v>
      </c>
      <c r="E165" s="10">
        <f>Source!BZ89</f>
        <v>95</v>
      </c>
      <c r="F165" s="20"/>
      <c r="G165" s="29"/>
      <c r="H165" s="20">
        <f>SUM(R159:R164)</f>
        <v>14.18</v>
      </c>
      <c r="I165" s="29">
        <f>Source!AT89</f>
        <v>81</v>
      </c>
      <c r="J165" s="20">
        <f>SUM(S159:S164)</f>
        <v>298.91000000000003</v>
      </c>
    </row>
    <row r="166" spans="1:21" ht="14.25" x14ac:dyDescent="0.2">
      <c r="A166" s="25"/>
      <c r="B166" s="26"/>
      <c r="C166" s="26" t="str">
        <f>CONCATENATE("СП от ФОТ [к тек. уровню ", Source!FW89, "]")</f>
        <v>СП от ФОТ [к тек. уровню *0,8]</v>
      </c>
      <c r="D166" s="28" t="s">
        <v>401</v>
      </c>
      <c r="E166" s="10">
        <f>Source!CA89</f>
        <v>65</v>
      </c>
      <c r="F166" s="20"/>
      <c r="G166" s="29"/>
      <c r="H166" s="20">
        <f>SUM(T159:T165)</f>
        <v>9.6999999999999993</v>
      </c>
      <c r="I166" s="29">
        <f>Source!AU89</f>
        <v>52</v>
      </c>
      <c r="J166" s="20">
        <f>SUM(U159:U165)</f>
        <v>191.89</v>
      </c>
    </row>
    <row r="167" spans="1:21" ht="14.25" x14ac:dyDescent="0.2">
      <c r="A167" s="33"/>
      <c r="B167" s="34"/>
      <c r="C167" s="34" t="s">
        <v>402</v>
      </c>
      <c r="D167" s="35" t="s">
        <v>403</v>
      </c>
      <c r="E167" s="36">
        <f>Source!AQ89</f>
        <v>12.41</v>
      </c>
      <c r="F167" s="37"/>
      <c r="G167" s="38" t="str">
        <f>Source!DI89</f>
        <v/>
      </c>
      <c r="H167" s="37">
        <f>Source!U89</f>
        <v>1.4891999999999999</v>
      </c>
      <c r="I167" s="38"/>
      <c r="J167" s="37"/>
    </row>
    <row r="168" spans="1:21" ht="15" x14ac:dyDescent="0.25">
      <c r="C168" s="31" t="s">
        <v>404</v>
      </c>
      <c r="G168" s="43">
        <f>ROUND(Source!AC89*Source!I89, 2)+ROUND(Source!AF89*Source!I89, 2)+ROUND(Source!AD89*Source!I89, 2)+SUM(H164:H166)</f>
        <v>981</v>
      </c>
      <c r="H168" s="43"/>
      <c r="I168" s="43">
        <f>Source!P89+Source!Q89+Source!S89+SUM(J164:J166)</f>
        <v>4946.920000000001</v>
      </c>
      <c r="J168" s="43"/>
      <c r="O168" s="32">
        <f>G168</f>
        <v>981</v>
      </c>
      <c r="P168" s="32">
        <f>I168</f>
        <v>4946.920000000001</v>
      </c>
    </row>
    <row r="170" spans="1:21" ht="15" x14ac:dyDescent="0.25">
      <c r="A170" s="42" t="str">
        <f>CONCATENATE("Итого по разделу: ",IF(Source!G92&lt;&gt;"Новый раздел", Source!G92, ""))</f>
        <v>Итого по разделу: Ру 0,4 кВ №2</v>
      </c>
      <c r="B170" s="42"/>
      <c r="C170" s="42"/>
      <c r="D170" s="42"/>
      <c r="E170" s="42"/>
      <c r="F170" s="42"/>
      <c r="G170" s="43">
        <f>SUM(O142:O169)</f>
        <v>1568.83</v>
      </c>
      <c r="H170" s="43"/>
      <c r="I170" s="43">
        <f>SUM(P142:P169)</f>
        <v>9792.07</v>
      </c>
      <c r="J170" s="43"/>
    </row>
    <row r="172" spans="1:21" ht="15" x14ac:dyDescent="0.25">
      <c r="A172" s="42" t="str">
        <f>CONCATENATE("Итого по локальной смете: ",IF(Source!G121&lt;&gt;"Новая локальная смета", Source!G121, ""))</f>
        <v>Итого по локальной смете: Присоединенение РУ 0,4 кВ</v>
      </c>
      <c r="B172" s="42"/>
      <c r="C172" s="42"/>
      <c r="D172" s="42"/>
      <c r="E172" s="42"/>
      <c r="F172" s="42"/>
      <c r="G172" s="43">
        <f>SUM(O33:O171)</f>
        <v>24307.48</v>
      </c>
      <c r="H172" s="43"/>
      <c r="I172" s="43">
        <f>SUM(P33:P171)</f>
        <v>192003.93000000002</v>
      </c>
      <c r="J172" s="43"/>
    </row>
    <row r="174" spans="1:21" ht="14.25" x14ac:dyDescent="0.2">
      <c r="C174" s="44" t="str">
        <f>Source!H128</f>
        <v>Стоимость материалов заказчика</v>
      </c>
      <c r="D174" s="44"/>
      <c r="E174" s="44"/>
      <c r="F174" s="44"/>
      <c r="G174" s="44"/>
      <c r="H174" s="44"/>
      <c r="I174" s="45">
        <f>IF(Source!F128=0, "", Source!F128)</f>
        <v>8730.1299999999992</v>
      </c>
      <c r="J174" s="45"/>
    </row>
    <row r="175" spans="1:21" ht="14.25" x14ac:dyDescent="0.2">
      <c r="C175" s="27"/>
      <c r="D175" s="27"/>
      <c r="E175" s="27"/>
      <c r="F175" s="27"/>
      <c r="G175" s="27"/>
      <c r="H175" s="27"/>
      <c r="I175" s="20"/>
      <c r="J175" s="20"/>
    </row>
    <row r="176" spans="1:21" ht="14.25" customHeight="1" x14ac:dyDescent="0.25">
      <c r="A176" s="42" t="str">
        <f>Source!H149</f>
        <v>Итого по локальной смете без учета материала Заказчика</v>
      </c>
      <c r="B176" s="42"/>
      <c r="C176" s="42"/>
      <c r="D176" s="42"/>
      <c r="E176" s="42"/>
      <c r="F176" s="42"/>
      <c r="G176" s="42"/>
      <c r="H176" s="42"/>
      <c r="I176" s="43">
        <f>IF(Source!F149=0, "", Source!F149)</f>
        <v>183273.8</v>
      </c>
      <c r="J176" s="43"/>
    </row>
    <row r="178" spans="1:10" ht="15" x14ac:dyDescent="0.25">
      <c r="A178" s="44" t="s">
        <v>422</v>
      </c>
      <c r="B178" s="44"/>
      <c r="C178" s="44"/>
      <c r="D178" s="44"/>
      <c r="E178" s="44"/>
      <c r="F178" s="44"/>
      <c r="G178" s="43"/>
      <c r="H178" s="43"/>
      <c r="I178" s="45">
        <f>ROUND(I176*1.9/100,2)</f>
        <v>3482.2</v>
      </c>
      <c r="J178" s="45"/>
    </row>
    <row r="180" spans="1:10" ht="15" x14ac:dyDescent="0.25">
      <c r="A180" s="42" t="s">
        <v>423</v>
      </c>
      <c r="B180" s="42"/>
      <c r="C180" s="42"/>
      <c r="D180" s="42"/>
      <c r="E180" s="42"/>
      <c r="F180" s="42"/>
      <c r="G180" s="43"/>
      <c r="H180" s="43"/>
      <c r="I180" s="43">
        <f>I176+I178</f>
        <v>186756</v>
      </c>
      <c r="J180" s="43"/>
    </row>
    <row r="182" spans="1:10" ht="15" x14ac:dyDescent="0.25">
      <c r="A182" s="42" t="s">
        <v>429</v>
      </c>
      <c r="B182" s="42"/>
      <c r="C182" s="42"/>
      <c r="D182" s="42"/>
      <c r="E182" s="42"/>
      <c r="F182" s="42"/>
    </row>
    <row r="184" spans="1:10" ht="15" x14ac:dyDescent="0.25">
      <c r="A184" s="42" t="s">
        <v>420</v>
      </c>
      <c r="B184" s="42"/>
      <c r="C184" s="42"/>
      <c r="D184" s="42"/>
      <c r="E184" s="42"/>
      <c r="F184" s="42"/>
      <c r="G184" s="45"/>
      <c r="H184" s="45"/>
      <c r="I184" s="45"/>
      <c r="J184" s="45"/>
    </row>
    <row r="186" spans="1:10" ht="15" x14ac:dyDescent="0.25">
      <c r="A186" s="42" t="s">
        <v>421</v>
      </c>
      <c r="B186" s="42"/>
      <c r="C186" s="42"/>
      <c r="D186" s="42"/>
      <c r="E186" s="42"/>
      <c r="F186" s="42"/>
      <c r="G186" s="43"/>
      <c r="H186" s="43"/>
      <c r="I186" s="43"/>
      <c r="J186" s="43"/>
    </row>
    <row r="188" spans="1:10" ht="14.25" x14ac:dyDescent="0.2">
      <c r="A188" s="59"/>
      <c r="B188" s="59"/>
      <c r="C188" s="60"/>
      <c r="D188" s="60"/>
      <c r="E188" s="60"/>
      <c r="F188" s="60"/>
      <c r="G188" s="60"/>
      <c r="H188" s="60"/>
      <c r="I188" s="60"/>
      <c r="J188" s="13"/>
    </row>
    <row r="189" spans="1:10" ht="14.25" x14ac:dyDescent="0.2">
      <c r="A189" s="60"/>
      <c r="B189" s="60"/>
      <c r="C189" s="61"/>
      <c r="D189" s="61"/>
      <c r="E189" s="61"/>
      <c r="F189" s="61"/>
      <c r="G189" s="61"/>
      <c r="H189" s="60"/>
      <c r="I189" s="60"/>
      <c r="J189" s="13"/>
    </row>
    <row r="190" spans="1:10" ht="14.25" x14ac:dyDescent="0.2">
      <c r="A190" s="60"/>
      <c r="B190" s="60"/>
      <c r="C190" s="60"/>
      <c r="D190" s="60"/>
      <c r="E190" s="60"/>
      <c r="F190" s="60"/>
      <c r="G190" s="60"/>
      <c r="H190" s="60"/>
      <c r="I190" s="60"/>
      <c r="J190" s="13"/>
    </row>
    <row r="191" spans="1:10" ht="14.25" x14ac:dyDescent="0.2">
      <c r="A191" s="59"/>
      <c r="B191" s="59"/>
      <c r="C191" s="60"/>
      <c r="D191" s="60"/>
      <c r="E191" s="60"/>
      <c r="F191" s="60"/>
      <c r="G191" s="60"/>
      <c r="H191" s="60"/>
      <c r="I191" s="60"/>
      <c r="J191" s="13"/>
    </row>
    <row r="192" spans="1:10" ht="14.25" x14ac:dyDescent="0.2">
      <c r="A192" s="60"/>
      <c r="B192" s="60"/>
      <c r="C192" s="61"/>
      <c r="D192" s="61"/>
      <c r="E192" s="61"/>
      <c r="F192" s="61"/>
      <c r="G192" s="61"/>
      <c r="H192" s="60"/>
      <c r="I192" s="60"/>
      <c r="J192" s="13"/>
    </row>
    <row r="193" spans="1:10" s="9" customFormat="1" ht="12" x14ac:dyDescent="0.2"/>
    <row r="194" spans="1:10" ht="14.25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1"/>
    </row>
    <row r="195" spans="1:10" ht="16.5" x14ac:dyDescent="0.25">
      <c r="A195" s="12"/>
      <c r="B195" s="57" t="s">
        <v>375</v>
      </c>
      <c r="C195" s="57"/>
      <c r="D195" s="57"/>
      <c r="E195" s="57"/>
      <c r="F195" s="13"/>
      <c r="G195" s="57" t="s">
        <v>376</v>
      </c>
      <c r="H195" s="54"/>
      <c r="I195" s="54"/>
      <c r="J195" s="54"/>
    </row>
    <row r="196" spans="1:10" ht="14.25" x14ac:dyDescent="0.2">
      <c r="A196" s="13"/>
      <c r="B196" s="48"/>
      <c r="C196" s="48"/>
      <c r="D196" s="48"/>
      <c r="E196" s="48"/>
      <c r="F196" s="13"/>
      <c r="G196" s="48" t="s">
        <v>430</v>
      </c>
      <c r="H196" s="54"/>
      <c r="I196" s="54"/>
      <c r="J196" s="54"/>
    </row>
    <row r="197" spans="1:10" ht="14.25" x14ac:dyDescent="0.2">
      <c r="A197" s="13"/>
      <c r="B197" s="17"/>
      <c r="C197" s="17"/>
      <c r="D197" s="17"/>
      <c r="E197" s="17"/>
      <c r="F197" s="13"/>
      <c r="G197" s="17" t="s">
        <v>426</v>
      </c>
      <c r="H197" s="14"/>
      <c r="I197" s="14"/>
      <c r="J197" s="14"/>
    </row>
    <row r="198" spans="1:10" ht="14.25" x14ac:dyDescent="0.2">
      <c r="A198" s="15"/>
      <c r="B198" s="15"/>
      <c r="C198" s="16"/>
      <c r="D198" s="16"/>
      <c r="E198" s="16"/>
      <c r="F198" s="13"/>
      <c r="G198" s="17"/>
      <c r="H198" s="16"/>
      <c r="I198" s="16"/>
      <c r="J198" s="16"/>
    </row>
    <row r="199" spans="1:10" ht="14.25" x14ac:dyDescent="0.2">
      <c r="A199" s="17"/>
      <c r="B199" s="48" t="str">
        <f>CONCATENATE("______________________ ", IF(Source!AL12&lt;&gt;"", Source!AL12, ""))</f>
        <v xml:space="preserve">______________________ </v>
      </c>
      <c r="C199" s="48"/>
      <c r="D199" s="48"/>
      <c r="E199" s="48"/>
      <c r="F199" s="13"/>
      <c r="G199" s="48" t="s">
        <v>431</v>
      </c>
      <c r="H199" s="54"/>
      <c r="I199" s="54"/>
      <c r="J199" s="54"/>
    </row>
    <row r="200" spans="1:10" ht="14.25" x14ac:dyDescent="0.2">
      <c r="A200" s="18"/>
      <c r="B200" s="55" t="s">
        <v>377</v>
      </c>
      <c r="C200" s="55"/>
      <c r="D200" s="55"/>
      <c r="E200" s="55"/>
      <c r="F200" s="13"/>
      <c r="G200" s="55" t="s">
        <v>377</v>
      </c>
      <c r="H200" s="56"/>
      <c r="I200" s="56"/>
      <c r="J200" s="56"/>
    </row>
    <row r="202" spans="1:10" ht="14.25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1"/>
    </row>
    <row r="203" spans="1:10" ht="15.75" x14ac:dyDescent="0.25">
      <c r="A203" s="49" t="s">
        <v>415</v>
      </c>
      <c r="B203" s="49"/>
      <c r="C203" s="49"/>
      <c r="D203" s="49"/>
      <c r="E203" s="49"/>
      <c r="F203" s="49"/>
      <c r="G203" s="49"/>
      <c r="H203" s="49"/>
      <c r="I203" s="49"/>
      <c r="J203" s="49"/>
    </row>
    <row r="204" spans="1:10" x14ac:dyDescent="0.2">
      <c r="A204" s="46" t="s">
        <v>378</v>
      </c>
      <c r="B204" s="46"/>
      <c r="C204" s="46"/>
      <c r="D204" s="46"/>
      <c r="E204" s="46"/>
      <c r="F204" s="46"/>
      <c r="G204" s="46"/>
      <c r="H204" s="46"/>
      <c r="I204" s="46"/>
      <c r="J204" s="46"/>
    </row>
    <row r="205" spans="1:10" ht="14.25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ht="15.75" x14ac:dyDescent="0.25">
      <c r="A206" s="49" t="s">
        <v>432</v>
      </c>
      <c r="B206" s="49"/>
      <c r="C206" s="49"/>
      <c r="D206" s="49"/>
      <c r="E206" s="49"/>
      <c r="F206" s="49"/>
      <c r="G206" s="49"/>
      <c r="H206" s="49"/>
      <c r="I206" s="49"/>
      <c r="J206" s="49"/>
    </row>
    <row r="207" spans="1:10" x14ac:dyDescent="0.2">
      <c r="A207" s="50" t="s">
        <v>379</v>
      </c>
      <c r="B207" s="50"/>
      <c r="C207" s="50"/>
      <c r="D207" s="50"/>
      <c r="E207" s="50"/>
      <c r="F207" s="50"/>
      <c r="G207" s="50"/>
      <c r="H207" s="50"/>
      <c r="I207" s="50"/>
      <c r="J207" s="50"/>
    </row>
    <row r="208" spans="1:10" ht="14.25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1:10" ht="18" x14ac:dyDescent="0.25">
      <c r="A209" s="51" t="s">
        <v>201</v>
      </c>
      <c r="B209" s="52"/>
      <c r="C209" s="52"/>
      <c r="D209" s="52"/>
      <c r="E209" s="52"/>
      <c r="F209" s="52"/>
      <c r="G209" s="52"/>
      <c r="H209" s="52"/>
      <c r="I209" s="52"/>
      <c r="J209" s="52"/>
    </row>
    <row r="210" spans="1:10" x14ac:dyDescent="0.2">
      <c r="A210" s="50" t="s">
        <v>380</v>
      </c>
      <c r="B210" s="53"/>
      <c r="C210" s="53"/>
      <c r="D210" s="53"/>
      <c r="E210" s="53"/>
      <c r="F210" s="53"/>
      <c r="G210" s="53"/>
      <c r="H210" s="53"/>
      <c r="I210" s="53"/>
      <c r="J210" s="53"/>
    </row>
    <row r="211" spans="1:10" ht="14.25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1:10" ht="14.25" x14ac:dyDescent="0.2">
      <c r="A212" s="44" t="str">
        <f>CONCATENATE( "Основание: ", Source!J151)</f>
        <v>Основание: Приложение №1 к Техническому заданию - Ведомость объемов работ</v>
      </c>
      <c r="B212" s="44"/>
      <c r="C212" s="44"/>
      <c r="D212" s="44"/>
      <c r="E212" s="44"/>
      <c r="F212" s="44"/>
      <c r="G212" s="44"/>
      <c r="H212" s="44"/>
      <c r="I212" s="44"/>
      <c r="J212" s="44"/>
    </row>
    <row r="213" spans="1:10" ht="14.25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 ht="14.25" x14ac:dyDescent="0.2">
      <c r="A214" s="13"/>
      <c r="B214" s="13"/>
      <c r="C214" s="13"/>
      <c r="D214" s="13"/>
      <c r="E214" s="13"/>
      <c r="F214" s="13"/>
      <c r="G214" s="13"/>
      <c r="H214" s="19" t="s">
        <v>381</v>
      </c>
      <c r="I214" s="19" t="s">
        <v>382</v>
      </c>
      <c r="J214" s="13"/>
    </row>
    <row r="215" spans="1:10" ht="14.25" x14ac:dyDescent="0.2">
      <c r="A215" s="13"/>
      <c r="B215" s="13"/>
      <c r="C215" s="13"/>
      <c r="D215" s="13"/>
      <c r="E215" s="13"/>
      <c r="F215" s="13"/>
      <c r="G215" s="13"/>
      <c r="H215" s="19" t="s">
        <v>383</v>
      </c>
      <c r="I215" s="19" t="s">
        <v>383</v>
      </c>
      <c r="J215" s="13"/>
    </row>
    <row r="216" spans="1:10" ht="14.25" x14ac:dyDescent="0.2">
      <c r="A216" s="13"/>
      <c r="B216" s="13"/>
      <c r="C216" s="13"/>
      <c r="D216" s="13"/>
      <c r="E216" s="48" t="s">
        <v>384</v>
      </c>
      <c r="F216" s="48"/>
      <c r="G216" s="48"/>
      <c r="H216" s="20">
        <f>SUM(O223:O271)/1000</f>
        <v>0.88569000000000009</v>
      </c>
      <c r="I216" s="20">
        <f>(Source!F256/1000)</f>
        <v>19.97167</v>
      </c>
      <c r="J216" s="13" t="s">
        <v>385</v>
      </c>
    </row>
    <row r="217" spans="1:10" ht="14.25" x14ac:dyDescent="0.2">
      <c r="A217" s="13"/>
      <c r="B217" s="13"/>
      <c r="C217" s="13"/>
      <c r="D217" s="13"/>
      <c r="E217" s="48" t="s">
        <v>386</v>
      </c>
      <c r="F217" s="48"/>
      <c r="G217" s="48"/>
      <c r="H217" s="20">
        <f>I217</f>
        <v>36.033999999999999</v>
      </c>
      <c r="I217" s="20">
        <f>(Source!F251+Source!F252)</f>
        <v>36.033999999999999</v>
      </c>
      <c r="J217" s="13" t="s">
        <v>387</v>
      </c>
    </row>
    <row r="218" spans="1:10" ht="14.25" x14ac:dyDescent="0.2">
      <c r="A218" s="13"/>
      <c r="B218" s="13"/>
      <c r="C218" s="13"/>
      <c r="D218" s="13"/>
      <c r="E218" s="48" t="s">
        <v>388</v>
      </c>
      <c r="F218" s="48"/>
      <c r="G218" s="48"/>
      <c r="H218" s="20">
        <f>SUM(Q223:Q271)/1000</f>
        <v>0.43204000000000004</v>
      </c>
      <c r="I218" s="20">
        <f>(Source!F244+ Source!F243)/1000</f>
        <v>10.680040000000002</v>
      </c>
      <c r="J218" s="13" t="s">
        <v>385</v>
      </c>
    </row>
    <row r="219" spans="1:10" ht="14.25" x14ac:dyDescent="0.2">
      <c r="A219" s="13"/>
      <c r="B219" s="13"/>
      <c r="C219" s="13"/>
      <c r="D219" s="13"/>
      <c r="E219" s="13"/>
      <c r="F219" s="13"/>
      <c r="G219" s="13"/>
      <c r="H219" s="10"/>
      <c r="I219" s="20"/>
      <c r="J219" s="13"/>
    </row>
    <row r="220" spans="1:10" ht="14.25" x14ac:dyDescent="0.2">
      <c r="A220" s="13" t="s">
        <v>399</v>
      </c>
      <c r="B220" s="13"/>
      <c r="C220" s="13"/>
      <c r="D220" s="21"/>
      <c r="E220" s="22"/>
      <c r="F220" s="13"/>
      <c r="G220" s="13"/>
      <c r="H220" s="13"/>
      <c r="I220" s="13"/>
      <c r="J220" s="13"/>
    </row>
    <row r="221" spans="1:10" ht="71.25" x14ac:dyDescent="0.2">
      <c r="A221" s="23" t="s">
        <v>389</v>
      </c>
      <c r="B221" s="23" t="s">
        <v>390</v>
      </c>
      <c r="C221" s="23" t="s">
        <v>391</v>
      </c>
      <c r="D221" s="23" t="s">
        <v>392</v>
      </c>
      <c r="E221" s="23" t="s">
        <v>393</v>
      </c>
      <c r="F221" s="23" t="s">
        <v>394</v>
      </c>
      <c r="G221" s="24" t="s">
        <v>395</v>
      </c>
      <c r="H221" s="23" t="s">
        <v>396</v>
      </c>
      <c r="I221" s="23" t="s">
        <v>397</v>
      </c>
      <c r="J221" s="23" t="s">
        <v>398</v>
      </c>
    </row>
    <row r="222" spans="1:10" ht="14.25" x14ac:dyDescent="0.2">
      <c r="A222" s="23">
        <v>1</v>
      </c>
      <c r="B222" s="23">
        <v>2</v>
      </c>
      <c r="C222" s="23">
        <v>3</v>
      </c>
      <c r="D222" s="23">
        <v>4</v>
      </c>
      <c r="E222" s="23">
        <v>5</v>
      </c>
      <c r="F222" s="23">
        <v>6</v>
      </c>
      <c r="G222" s="23">
        <v>7</v>
      </c>
      <c r="H222" s="23">
        <v>8</v>
      </c>
      <c r="I222" s="23">
        <v>9</v>
      </c>
      <c r="J222" s="23">
        <v>10</v>
      </c>
    </row>
    <row r="224" spans="1:10" ht="16.5" x14ac:dyDescent="0.25">
      <c r="A224" s="47" t="str">
        <f>CONCATENATE("Раздел: ",IF(Source!G155&lt;&gt;"Новый раздел", Source!G155, ""))</f>
        <v>Раздел: РУ 0,4 кВ №1</v>
      </c>
      <c r="B224" s="47"/>
      <c r="C224" s="47"/>
      <c r="D224" s="47"/>
      <c r="E224" s="47"/>
      <c r="F224" s="47"/>
      <c r="G224" s="47"/>
      <c r="H224" s="47"/>
      <c r="I224" s="47"/>
      <c r="J224" s="47"/>
    </row>
    <row r="225" spans="1:21" ht="139.5" x14ac:dyDescent="0.2">
      <c r="A225" s="25" t="str">
        <f>Source!E159</f>
        <v>1</v>
      </c>
      <c r="B225" s="26" t="s">
        <v>411</v>
      </c>
      <c r="C225" s="26" t="s">
        <v>412</v>
      </c>
      <c r="D225" s="28" t="str">
        <f>Source!H159</f>
        <v>ШТ</v>
      </c>
      <c r="E225" s="10">
        <f>Source!I159</f>
        <v>12</v>
      </c>
      <c r="F225" s="20"/>
      <c r="G225" s="29"/>
      <c r="H225" s="20"/>
      <c r="I225" s="29" t="str">
        <f>Source!BO159</f>
        <v/>
      </c>
      <c r="J225" s="20"/>
      <c r="R225">
        <f>ROUND((Source!FX159/100)*((ROUND(Source!AF159*Source!I159, 2)+ROUND(Source!AE159*Source!I159, 2))), 2)</f>
        <v>22.39</v>
      </c>
      <c r="S225">
        <f>Source!X159</f>
        <v>468.25</v>
      </c>
      <c r="T225">
        <f>ROUND((Source!FY159/100)*((ROUND(Source!AF159*Source!I159, 2)+ROUND(Source!AE159*Source!I159, 2))), 2)</f>
        <v>13.78</v>
      </c>
      <c r="U225">
        <f>Source!Y159</f>
        <v>272.44</v>
      </c>
    </row>
    <row r="226" spans="1:21" ht="14.25" x14ac:dyDescent="0.2">
      <c r="A226" s="25"/>
      <c r="B226" s="26"/>
      <c r="C226" s="26" t="s">
        <v>400</v>
      </c>
      <c r="D226" s="28"/>
      <c r="E226" s="10"/>
      <c r="F226" s="20">
        <f>Source!AO159</f>
        <v>4.0999999999999996</v>
      </c>
      <c r="G226" s="29" t="str">
        <f>Source!DG159</f>
        <v>)*0,7</v>
      </c>
      <c r="H226" s="20">
        <f>ROUND(Source!AF159*Source!I159, 2)</f>
        <v>34.44</v>
      </c>
      <c r="I226" s="29">
        <f>IF(Source!BA159&lt;&gt; 0, Source!BA159, 1)</f>
        <v>24.72</v>
      </c>
      <c r="J226" s="20">
        <f>Source!S159</f>
        <v>851.36</v>
      </c>
      <c r="Q226">
        <f>ROUND(Source!AF159*Source!I159, 2)</f>
        <v>34.44</v>
      </c>
    </row>
    <row r="227" spans="1:21" ht="14.25" x14ac:dyDescent="0.2">
      <c r="A227" s="25"/>
      <c r="B227" s="26"/>
      <c r="C227" s="26" t="str">
        <f>CONCATENATE("НР от ФОТ [к тек. уровню ", Source!FV159, "]")</f>
        <v>НР от ФОТ [к тек. уровню *0,85]</v>
      </c>
      <c r="D227" s="28" t="s">
        <v>401</v>
      </c>
      <c r="E227" s="10">
        <f>Source!BZ159</f>
        <v>65</v>
      </c>
      <c r="F227" s="20"/>
      <c r="G227" s="29"/>
      <c r="H227" s="20">
        <f>SUM(R225:R226)</f>
        <v>22.39</v>
      </c>
      <c r="I227" s="29">
        <f>Source!AT159</f>
        <v>55</v>
      </c>
      <c r="J227" s="20">
        <f>SUM(S225:S226)</f>
        <v>468.25</v>
      </c>
    </row>
    <row r="228" spans="1:21" ht="14.25" x14ac:dyDescent="0.2">
      <c r="A228" s="25"/>
      <c r="B228" s="26"/>
      <c r="C228" s="26" t="str">
        <f>CONCATENATE("СП от ФОТ [к тек. уровню ", Source!FW159, "]")</f>
        <v>СП от ФОТ [к тек. уровню *0,8]</v>
      </c>
      <c r="D228" s="28" t="s">
        <v>401</v>
      </c>
      <c r="E228" s="10">
        <f>Source!CA159</f>
        <v>40</v>
      </c>
      <c r="F228" s="20"/>
      <c r="G228" s="29"/>
      <c r="H228" s="20">
        <f>SUM(T225:T227)</f>
        <v>13.78</v>
      </c>
      <c r="I228" s="29">
        <f>Source!AU159</f>
        <v>32</v>
      </c>
      <c r="J228" s="20">
        <f>SUM(U225:U227)</f>
        <v>272.44</v>
      </c>
    </row>
    <row r="229" spans="1:21" ht="14.25" x14ac:dyDescent="0.2">
      <c r="A229" s="33"/>
      <c r="B229" s="34"/>
      <c r="C229" s="34" t="s">
        <v>402</v>
      </c>
      <c r="D229" s="35" t="s">
        <v>403</v>
      </c>
      <c r="E229" s="36">
        <f>Source!AQ159</f>
        <v>0.32</v>
      </c>
      <c r="F229" s="37"/>
      <c r="G229" s="38" t="str">
        <f>Source!DI159</f>
        <v>)*0,7</v>
      </c>
      <c r="H229" s="37">
        <f>Source!U159</f>
        <v>2.6879999999999997</v>
      </c>
      <c r="I229" s="38"/>
      <c r="J229" s="37"/>
    </row>
    <row r="230" spans="1:21" ht="15" x14ac:dyDescent="0.25">
      <c r="C230" s="31" t="s">
        <v>404</v>
      </c>
      <c r="G230" s="43">
        <f>ROUND(Source!AC159*Source!I159, 2)+ROUND(Source!AF159*Source!I159, 2)+ROUND(Source!AD159*Source!I159, 2)+SUM(H227:H228)</f>
        <v>70.61</v>
      </c>
      <c r="H230" s="43"/>
      <c r="I230" s="43">
        <f>Source!P159+Source!Q159+Source!S159+SUM(J227:J228)</f>
        <v>1592.0500000000002</v>
      </c>
      <c r="J230" s="43"/>
      <c r="O230" s="32">
        <f>G230</f>
        <v>70.61</v>
      </c>
      <c r="P230" s="32">
        <f>I230</f>
        <v>1592.0500000000002</v>
      </c>
    </row>
    <row r="231" spans="1:21" ht="42.75" x14ac:dyDescent="0.2">
      <c r="A231" s="25" t="str">
        <f>Source!E160</f>
        <v>2</v>
      </c>
      <c r="B231" s="26" t="str">
        <f>Source!F160</f>
        <v>п01-11-024-01</v>
      </c>
      <c r="C231" s="26" t="str">
        <f>Source!G160</f>
        <v>Фазировка электрической линии или трансформатора с сетью напряжением до 1 кВ</v>
      </c>
      <c r="D231" s="28" t="str">
        <f>Source!H160</f>
        <v>ШТ</v>
      </c>
      <c r="E231" s="10">
        <f>Source!I160</f>
        <v>9</v>
      </c>
      <c r="F231" s="20"/>
      <c r="G231" s="29"/>
      <c r="H231" s="20"/>
      <c r="I231" s="29" t="str">
        <f>Source!BO160</f>
        <v/>
      </c>
      <c r="J231" s="20"/>
      <c r="R231">
        <f>ROUND((Source!FX160/100)*((ROUND(Source!AF160*Source!I160, 2)+ROUND(Source!AE160*Source!I160, 2))), 2)</f>
        <v>61.43</v>
      </c>
      <c r="S231">
        <f>Source!X160</f>
        <v>1284.82</v>
      </c>
      <c r="T231">
        <f>ROUND((Source!FY160/100)*((ROUND(Source!AF160*Source!I160, 2)+ROUND(Source!AE160*Source!I160, 2))), 2)</f>
        <v>37.799999999999997</v>
      </c>
      <c r="U231">
        <f>Source!Y160</f>
        <v>747.53</v>
      </c>
    </row>
    <row r="232" spans="1:21" ht="14.25" x14ac:dyDescent="0.2">
      <c r="A232" s="25"/>
      <c r="B232" s="26"/>
      <c r="C232" s="26" t="s">
        <v>400</v>
      </c>
      <c r="D232" s="28"/>
      <c r="E232" s="10"/>
      <c r="F232" s="20">
        <f>Source!AO160</f>
        <v>10.5</v>
      </c>
      <c r="G232" s="29" t="str">
        <f>Source!DG160</f>
        <v/>
      </c>
      <c r="H232" s="20">
        <f>ROUND(Source!AF160*Source!I160, 2)</f>
        <v>94.5</v>
      </c>
      <c r="I232" s="29">
        <f>IF(Source!BA160&lt;&gt; 0, Source!BA160, 1)</f>
        <v>24.72</v>
      </c>
      <c r="J232" s="20">
        <f>Source!S160</f>
        <v>2336.04</v>
      </c>
      <c r="Q232">
        <f>ROUND(Source!AF160*Source!I160, 2)</f>
        <v>94.5</v>
      </c>
    </row>
    <row r="233" spans="1:21" ht="14.25" x14ac:dyDescent="0.2">
      <c r="A233" s="25"/>
      <c r="B233" s="26"/>
      <c r="C233" s="26" t="str">
        <f>CONCATENATE("НР от ФОТ [к тек. уровню ", Source!FV160, "]")</f>
        <v>НР от ФОТ [к тек. уровню *0,85]</v>
      </c>
      <c r="D233" s="28" t="s">
        <v>401</v>
      </c>
      <c r="E233" s="10">
        <f>Source!BZ160</f>
        <v>65</v>
      </c>
      <c r="F233" s="20"/>
      <c r="G233" s="29"/>
      <c r="H233" s="20">
        <f>SUM(R231:R232)</f>
        <v>61.43</v>
      </c>
      <c r="I233" s="29">
        <f>Source!AT160</f>
        <v>55</v>
      </c>
      <c r="J233" s="20">
        <f>SUM(S231:S232)</f>
        <v>1284.82</v>
      </c>
    </row>
    <row r="234" spans="1:21" ht="14.25" x14ac:dyDescent="0.2">
      <c r="A234" s="25"/>
      <c r="B234" s="26"/>
      <c r="C234" s="26" t="str">
        <f>CONCATENATE("СП от ФОТ [к тек. уровню ", Source!FW160, "]")</f>
        <v>СП от ФОТ [к тек. уровню *0,8]</v>
      </c>
      <c r="D234" s="28" t="s">
        <v>401</v>
      </c>
      <c r="E234" s="10">
        <f>Source!CA160</f>
        <v>40</v>
      </c>
      <c r="F234" s="20"/>
      <c r="G234" s="29"/>
      <c r="H234" s="20">
        <f>SUM(T231:T233)</f>
        <v>37.799999999999997</v>
      </c>
      <c r="I234" s="29">
        <f>Source!AU160</f>
        <v>32</v>
      </c>
      <c r="J234" s="20">
        <f>SUM(U231:U233)</f>
        <v>747.53</v>
      </c>
    </row>
    <row r="235" spans="1:21" ht="14.25" x14ac:dyDescent="0.2">
      <c r="A235" s="33"/>
      <c r="B235" s="34"/>
      <c r="C235" s="34" t="s">
        <v>402</v>
      </c>
      <c r="D235" s="35" t="s">
        <v>403</v>
      </c>
      <c r="E235" s="36">
        <f>Source!AQ160</f>
        <v>0.82</v>
      </c>
      <c r="F235" s="37"/>
      <c r="G235" s="38" t="str">
        <f>Source!DI160</f>
        <v/>
      </c>
      <c r="H235" s="37">
        <f>Source!U160</f>
        <v>7.38</v>
      </c>
      <c r="I235" s="38"/>
      <c r="J235" s="37"/>
    </row>
    <row r="236" spans="1:21" ht="15" x14ac:dyDescent="0.25">
      <c r="C236" s="31" t="s">
        <v>404</v>
      </c>
      <c r="G236" s="43">
        <f>ROUND(Source!AC160*Source!I160, 2)+ROUND(Source!AF160*Source!I160, 2)+ROUND(Source!AD160*Source!I160, 2)+SUM(H233:H234)</f>
        <v>193.73</v>
      </c>
      <c r="H236" s="43"/>
      <c r="I236" s="43">
        <f>Source!P160+Source!Q160+Source!S160+SUM(J233:J234)</f>
        <v>4368.3899999999994</v>
      </c>
      <c r="J236" s="43"/>
      <c r="O236" s="32">
        <f>G236</f>
        <v>193.73</v>
      </c>
      <c r="P236" s="32">
        <f>I236</f>
        <v>4368.3899999999994</v>
      </c>
    </row>
    <row r="237" spans="1:21" ht="28.5" x14ac:dyDescent="0.2">
      <c r="A237" s="25" t="str">
        <f>Source!E161</f>
        <v>3</v>
      </c>
      <c r="B237" s="26" t="str">
        <f>Source!F161</f>
        <v>п01-12-020-01</v>
      </c>
      <c r="C237" s="26" t="str">
        <f>Source!G161</f>
        <v>Испытание сборных и соединительных шин напряжением до 11 кВ</v>
      </c>
      <c r="D237" s="28" t="str">
        <f>Source!H161</f>
        <v>испытание</v>
      </c>
      <c r="E237" s="10">
        <f>Source!I161</f>
        <v>3</v>
      </c>
      <c r="F237" s="20"/>
      <c r="G237" s="29"/>
      <c r="H237" s="20"/>
      <c r="I237" s="29" t="str">
        <f>Source!BO161</f>
        <v/>
      </c>
      <c r="J237" s="20"/>
      <c r="R237">
        <f>ROUND((Source!FX161/100)*((ROUND(Source!AF161*Source!I161, 2)+ROUND(Source!AE161*Source!I161, 2))), 2)</f>
        <v>162.91999999999999</v>
      </c>
      <c r="S237">
        <f>Source!X161</f>
        <v>3407.84</v>
      </c>
      <c r="T237">
        <f>ROUND((Source!FY161/100)*((ROUND(Source!AF161*Source!I161, 2)+ROUND(Source!AE161*Source!I161, 2))), 2)</f>
        <v>100.26</v>
      </c>
      <c r="U237">
        <f>Source!Y161</f>
        <v>1982.74</v>
      </c>
    </row>
    <row r="238" spans="1:21" ht="14.25" x14ac:dyDescent="0.2">
      <c r="A238" s="25"/>
      <c r="B238" s="26"/>
      <c r="C238" s="26" t="s">
        <v>400</v>
      </c>
      <c r="D238" s="28"/>
      <c r="E238" s="10"/>
      <c r="F238" s="20">
        <f>Source!AO161</f>
        <v>83.55</v>
      </c>
      <c r="G238" s="29" t="str">
        <f>Source!DG161</f>
        <v/>
      </c>
      <c r="H238" s="20">
        <f>ROUND(Source!AF161*Source!I161, 2)</f>
        <v>250.65</v>
      </c>
      <c r="I238" s="29">
        <f>IF(Source!BA161&lt;&gt; 0, Source!BA161, 1)</f>
        <v>24.72</v>
      </c>
      <c r="J238" s="20">
        <f>Source!S161</f>
        <v>6196.07</v>
      </c>
      <c r="Q238">
        <f>ROUND(Source!AF161*Source!I161, 2)</f>
        <v>250.65</v>
      </c>
    </row>
    <row r="239" spans="1:21" ht="14.25" x14ac:dyDescent="0.2">
      <c r="A239" s="25"/>
      <c r="B239" s="26"/>
      <c r="C239" s="26" t="str">
        <f>CONCATENATE("НР от ФОТ [к тек. уровню ", Source!FV161, "]")</f>
        <v>НР от ФОТ [к тек. уровню *0,85]</v>
      </c>
      <c r="D239" s="28" t="s">
        <v>401</v>
      </c>
      <c r="E239" s="10">
        <f>Source!BZ161</f>
        <v>65</v>
      </c>
      <c r="F239" s="20"/>
      <c r="G239" s="29"/>
      <c r="H239" s="20">
        <f>SUM(R237:R238)</f>
        <v>162.91999999999999</v>
      </c>
      <c r="I239" s="29">
        <f>Source!AT161</f>
        <v>55</v>
      </c>
      <c r="J239" s="20">
        <f>SUM(S237:S238)</f>
        <v>3407.84</v>
      </c>
    </row>
    <row r="240" spans="1:21" ht="14.25" x14ac:dyDescent="0.2">
      <c r="A240" s="25"/>
      <c r="B240" s="26"/>
      <c r="C240" s="26" t="str">
        <f>CONCATENATE("СП от ФОТ [к тек. уровню ", Source!FW161, "]")</f>
        <v>СП от ФОТ [к тек. уровню *0,8]</v>
      </c>
      <c r="D240" s="28" t="s">
        <v>401</v>
      </c>
      <c r="E240" s="10">
        <f>Source!CA161</f>
        <v>40</v>
      </c>
      <c r="F240" s="20"/>
      <c r="G240" s="29"/>
      <c r="H240" s="20">
        <f>SUM(T237:T239)</f>
        <v>100.26</v>
      </c>
      <c r="I240" s="29">
        <f>Source!AU161</f>
        <v>32</v>
      </c>
      <c r="J240" s="20">
        <f>SUM(U237:U239)</f>
        <v>1982.74</v>
      </c>
    </row>
    <row r="241" spans="1:21" ht="14.25" x14ac:dyDescent="0.2">
      <c r="A241" s="33"/>
      <c r="B241" s="34"/>
      <c r="C241" s="34" t="s">
        <v>402</v>
      </c>
      <c r="D241" s="35" t="s">
        <v>403</v>
      </c>
      <c r="E241" s="36">
        <f>Source!AQ161</f>
        <v>7.29</v>
      </c>
      <c r="F241" s="37"/>
      <c r="G241" s="38" t="str">
        <f>Source!DI161</f>
        <v/>
      </c>
      <c r="H241" s="37">
        <f>Source!U161</f>
        <v>21.87</v>
      </c>
      <c r="I241" s="38"/>
      <c r="J241" s="37"/>
    </row>
    <row r="242" spans="1:21" ht="15" x14ac:dyDescent="0.25">
      <c r="C242" s="31" t="s">
        <v>404</v>
      </c>
      <c r="G242" s="43">
        <f>ROUND(Source!AC161*Source!I161, 2)+ROUND(Source!AF161*Source!I161, 2)+ROUND(Source!AD161*Source!I161, 2)+SUM(H239:H240)</f>
        <v>513.83000000000004</v>
      </c>
      <c r="H242" s="43"/>
      <c r="I242" s="43">
        <f>Source!P161+Source!Q161+Source!S161+SUM(J239:J240)</f>
        <v>11586.65</v>
      </c>
      <c r="J242" s="43"/>
      <c r="O242" s="32">
        <f>G242</f>
        <v>513.83000000000004</v>
      </c>
      <c r="P242" s="32">
        <f>I242</f>
        <v>11586.65</v>
      </c>
    </row>
    <row r="243" spans="1:21" ht="28.5" x14ac:dyDescent="0.2">
      <c r="A243" s="25" t="str">
        <f>Source!E162</f>
        <v>4</v>
      </c>
      <c r="B243" s="26" t="str">
        <f>Source!F162</f>
        <v>п01-11-013-01</v>
      </c>
      <c r="C243" s="26" t="str">
        <f>Source!G162</f>
        <v>Замер полного сопротивления цепи "фаза-нуль"</v>
      </c>
      <c r="D243" s="28" t="str">
        <f>Source!H162</f>
        <v>ШТ</v>
      </c>
      <c r="E243" s="10">
        <f>Source!I162</f>
        <v>1</v>
      </c>
      <c r="F243" s="20"/>
      <c r="G243" s="29"/>
      <c r="H243" s="20"/>
      <c r="I243" s="29" t="str">
        <f>Source!BO162</f>
        <v/>
      </c>
      <c r="J243" s="20"/>
      <c r="R243">
        <f>ROUND((Source!FX162/100)*((ROUND(Source!AF162*Source!I162, 2)+ROUND(Source!AE162*Source!I162, 2))), 2)</f>
        <v>10.15</v>
      </c>
      <c r="S243">
        <f>Source!X162</f>
        <v>212.37</v>
      </c>
      <c r="T243">
        <f>ROUND((Source!FY162/100)*((ROUND(Source!AF162*Source!I162, 2)+ROUND(Source!AE162*Source!I162, 2))), 2)</f>
        <v>6.25</v>
      </c>
      <c r="U243">
        <f>Source!Y162</f>
        <v>123.56</v>
      </c>
    </row>
    <row r="244" spans="1:21" ht="14.25" x14ac:dyDescent="0.2">
      <c r="A244" s="25"/>
      <c r="B244" s="26"/>
      <c r="C244" s="26" t="s">
        <v>400</v>
      </c>
      <c r="D244" s="28"/>
      <c r="E244" s="10"/>
      <c r="F244" s="20">
        <f>Source!AO162</f>
        <v>15.62</v>
      </c>
      <c r="G244" s="29" t="str">
        <f>Source!DG162</f>
        <v/>
      </c>
      <c r="H244" s="20">
        <f>ROUND(Source!AF162*Source!I162, 2)</f>
        <v>15.62</v>
      </c>
      <c r="I244" s="29">
        <f>IF(Source!BA162&lt;&gt; 0, Source!BA162, 1)</f>
        <v>24.72</v>
      </c>
      <c r="J244" s="20">
        <f>Source!S162</f>
        <v>386.13</v>
      </c>
      <c r="Q244">
        <f>ROUND(Source!AF162*Source!I162, 2)</f>
        <v>15.62</v>
      </c>
    </row>
    <row r="245" spans="1:21" ht="14.25" x14ac:dyDescent="0.2">
      <c r="A245" s="25"/>
      <c r="B245" s="26"/>
      <c r="C245" s="26" t="str">
        <f>CONCATENATE("НР от ФОТ [к тек. уровню ", Source!FV162, "]")</f>
        <v>НР от ФОТ [к тек. уровню *0,85]</v>
      </c>
      <c r="D245" s="28" t="s">
        <v>401</v>
      </c>
      <c r="E245" s="10">
        <f>Source!BZ162</f>
        <v>65</v>
      </c>
      <c r="F245" s="20"/>
      <c r="G245" s="29"/>
      <c r="H245" s="20">
        <f>SUM(R243:R244)</f>
        <v>10.15</v>
      </c>
      <c r="I245" s="29">
        <f>Source!AT162</f>
        <v>55</v>
      </c>
      <c r="J245" s="20">
        <f>SUM(S243:S244)</f>
        <v>212.37</v>
      </c>
    </row>
    <row r="246" spans="1:21" ht="14.25" x14ac:dyDescent="0.2">
      <c r="A246" s="25"/>
      <c r="B246" s="26"/>
      <c r="C246" s="26" t="str">
        <f>CONCATENATE("СП от ФОТ [к тек. уровню ", Source!FW162, "]")</f>
        <v>СП от ФОТ [к тек. уровню *0,8]</v>
      </c>
      <c r="D246" s="28" t="s">
        <v>401</v>
      </c>
      <c r="E246" s="10">
        <f>Source!CA162</f>
        <v>40</v>
      </c>
      <c r="F246" s="20"/>
      <c r="G246" s="29"/>
      <c r="H246" s="20">
        <f>SUM(T243:T245)</f>
        <v>6.25</v>
      </c>
      <c r="I246" s="29">
        <f>Source!AU162</f>
        <v>32</v>
      </c>
      <c r="J246" s="20">
        <f>SUM(U243:U245)</f>
        <v>123.56</v>
      </c>
    </row>
    <row r="247" spans="1:21" ht="14.25" x14ac:dyDescent="0.2">
      <c r="A247" s="33"/>
      <c r="B247" s="34"/>
      <c r="C247" s="34" t="s">
        <v>402</v>
      </c>
      <c r="D247" s="35" t="s">
        <v>403</v>
      </c>
      <c r="E247" s="36">
        <f>Source!AQ162</f>
        <v>1.22</v>
      </c>
      <c r="F247" s="37"/>
      <c r="G247" s="38" t="str">
        <f>Source!DI162</f>
        <v/>
      </c>
      <c r="H247" s="37">
        <f>Source!U162</f>
        <v>1.22</v>
      </c>
      <c r="I247" s="38"/>
      <c r="J247" s="37"/>
    </row>
    <row r="248" spans="1:21" ht="15" x14ac:dyDescent="0.25">
      <c r="C248" s="31" t="s">
        <v>404</v>
      </c>
      <c r="G248" s="43">
        <f>ROUND(Source!AC162*Source!I162, 2)+ROUND(Source!AF162*Source!I162, 2)+ROUND(Source!AD162*Source!I162, 2)+SUM(H245:H246)</f>
        <v>32.019999999999996</v>
      </c>
      <c r="H248" s="43"/>
      <c r="I248" s="43">
        <f>Source!P162+Source!Q162+Source!S162+SUM(J245:J246)</f>
        <v>722.06</v>
      </c>
      <c r="J248" s="43"/>
      <c r="O248" s="32">
        <f>G248</f>
        <v>32.019999999999996</v>
      </c>
      <c r="P248" s="32">
        <f>I248</f>
        <v>722.06</v>
      </c>
    </row>
    <row r="250" spans="1:21" ht="15" x14ac:dyDescent="0.25">
      <c r="A250" s="42" t="str">
        <f>CONCATENATE("Итого по разделу: ",IF(Source!G164&lt;&gt;"Новый раздел", Source!G164, ""))</f>
        <v>Итого по разделу: РУ 0,4 кВ №1</v>
      </c>
      <c r="B250" s="42"/>
      <c r="C250" s="42"/>
      <c r="D250" s="42"/>
      <c r="E250" s="42"/>
      <c r="F250" s="42"/>
      <c r="G250" s="43">
        <f>SUM(O224:O249)</f>
        <v>810.19</v>
      </c>
      <c r="H250" s="43"/>
      <c r="I250" s="43">
        <f>SUM(P224:P249)</f>
        <v>18269.150000000001</v>
      </c>
      <c r="J250" s="43"/>
    </row>
    <row r="254" spans="1:21" ht="16.5" x14ac:dyDescent="0.25">
      <c r="A254" s="47" t="str">
        <f>CONCATENATE("Раздел: ",IF(Source!G193&lt;&gt;"Новый раздел", Source!G193, ""))</f>
        <v>Раздел: РУ 0,4 кВ №2</v>
      </c>
      <c r="B254" s="47"/>
      <c r="C254" s="47"/>
      <c r="D254" s="47"/>
      <c r="E254" s="47"/>
      <c r="F254" s="47"/>
      <c r="G254" s="47"/>
      <c r="H254" s="47"/>
      <c r="I254" s="47"/>
      <c r="J254" s="47"/>
    </row>
    <row r="255" spans="1:21" ht="152.25" x14ac:dyDescent="0.2">
      <c r="A255" s="25" t="str">
        <f>Source!E197</f>
        <v>5</v>
      </c>
      <c r="B255" s="26" t="s">
        <v>413</v>
      </c>
      <c r="C255" s="26" t="s">
        <v>414</v>
      </c>
      <c r="D255" s="28" t="str">
        <f>Source!H197</f>
        <v>ШТ</v>
      </c>
      <c r="E255" s="10">
        <f>Source!I197</f>
        <v>1</v>
      </c>
      <c r="F255" s="20"/>
      <c r="G255" s="29"/>
      <c r="H255" s="20"/>
      <c r="I255" s="29" t="str">
        <f>Source!BO197</f>
        <v/>
      </c>
      <c r="J255" s="20"/>
      <c r="R255">
        <f>ROUND((Source!FX197/100)*((ROUND(Source!AF197*Source!I197, 2)+ROUND(Source!AE197*Source!I197, 2))), 2)</f>
        <v>3.46</v>
      </c>
      <c r="S255">
        <f>Source!X197</f>
        <v>72.47</v>
      </c>
      <c r="T255">
        <f>ROUND((Source!FY197/100)*((ROUND(Source!AF197*Source!I197, 2)+ROUND(Source!AE197*Source!I197, 2))), 2)</f>
        <v>2.13</v>
      </c>
      <c r="U255">
        <f>Source!Y197</f>
        <v>42.16</v>
      </c>
    </row>
    <row r="256" spans="1:21" ht="14.25" x14ac:dyDescent="0.2">
      <c r="A256" s="25"/>
      <c r="B256" s="26"/>
      <c r="C256" s="26" t="s">
        <v>400</v>
      </c>
      <c r="D256" s="28"/>
      <c r="E256" s="10"/>
      <c r="F256" s="20">
        <f>Source!AO197</f>
        <v>4.0999999999999996</v>
      </c>
      <c r="G256" s="29" t="str">
        <f>Source!DG197</f>
        <v>)*1,3</v>
      </c>
      <c r="H256" s="20">
        <f>ROUND(Source!AF197*Source!I197, 2)</f>
        <v>5.33</v>
      </c>
      <c r="I256" s="29">
        <f>IF(Source!BA197&lt;&gt; 0, Source!BA197, 1)</f>
        <v>24.72</v>
      </c>
      <c r="J256" s="20">
        <f>Source!S197</f>
        <v>131.76</v>
      </c>
      <c r="Q256">
        <f>ROUND(Source!AF197*Source!I197, 2)</f>
        <v>5.33</v>
      </c>
    </row>
    <row r="257" spans="1:21" ht="14.25" x14ac:dyDescent="0.2">
      <c r="A257" s="25"/>
      <c r="B257" s="26"/>
      <c r="C257" s="26" t="str">
        <f>CONCATENATE("НР от ФОТ [к тек. уровню ", Source!FV197, "]")</f>
        <v>НР от ФОТ [к тек. уровню *0,85]</v>
      </c>
      <c r="D257" s="28" t="s">
        <v>401</v>
      </c>
      <c r="E257" s="10">
        <f>Source!BZ197</f>
        <v>65</v>
      </c>
      <c r="F257" s="20"/>
      <c r="G257" s="29"/>
      <c r="H257" s="20">
        <f>SUM(R255:R256)</f>
        <v>3.46</v>
      </c>
      <c r="I257" s="29">
        <f>Source!AT197</f>
        <v>55</v>
      </c>
      <c r="J257" s="20">
        <f>SUM(S255:S256)</f>
        <v>72.47</v>
      </c>
    </row>
    <row r="258" spans="1:21" ht="14.25" x14ac:dyDescent="0.2">
      <c r="A258" s="25"/>
      <c r="B258" s="26"/>
      <c r="C258" s="26" t="str">
        <f>CONCATENATE("СП от ФОТ [к тек. уровню ", Source!FW197, "]")</f>
        <v>СП от ФОТ [к тек. уровню *0,8]</v>
      </c>
      <c r="D258" s="28" t="s">
        <v>401</v>
      </c>
      <c r="E258" s="10">
        <f>Source!CA197</f>
        <v>40</v>
      </c>
      <c r="F258" s="20"/>
      <c r="G258" s="29"/>
      <c r="H258" s="20">
        <f>SUM(T255:T257)</f>
        <v>2.13</v>
      </c>
      <c r="I258" s="29">
        <f>Source!AU197</f>
        <v>32</v>
      </c>
      <c r="J258" s="20">
        <f>SUM(U255:U257)</f>
        <v>42.16</v>
      </c>
    </row>
    <row r="259" spans="1:21" ht="14.25" x14ac:dyDescent="0.2">
      <c r="A259" s="33"/>
      <c r="B259" s="34"/>
      <c r="C259" s="34" t="s">
        <v>402</v>
      </c>
      <c r="D259" s="35" t="s">
        <v>403</v>
      </c>
      <c r="E259" s="36">
        <f>Source!AQ197</f>
        <v>0.32</v>
      </c>
      <c r="F259" s="37"/>
      <c r="G259" s="38" t="str">
        <f>Source!DI197</f>
        <v>)*1,3</v>
      </c>
      <c r="H259" s="37">
        <f>Source!U197</f>
        <v>0.41600000000000004</v>
      </c>
      <c r="I259" s="38"/>
      <c r="J259" s="37"/>
    </row>
    <row r="260" spans="1:21" ht="15" x14ac:dyDescent="0.25">
      <c r="C260" s="31" t="s">
        <v>404</v>
      </c>
      <c r="G260" s="43">
        <f>ROUND(Source!AC197*Source!I197, 2)+ROUND(Source!AF197*Source!I197, 2)+ROUND(Source!AD197*Source!I197, 2)+SUM(H257:H258)</f>
        <v>10.92</v>
      </c>
      <c r="H260" s="43"/>
      <c r="I260" s="43">
        <f>Source!P197+Source!Q197+Source!S197+SUM(J257:J258)</f>
        <v>246.39</v>
      </c>
      <c r="J260" s="43"/>
      <c r="O260" s="32">
        <f>G260</f>
        <v>10.92</v>
      </c>
      <c r="P260" s="32">
        <f>I260</f>
        <v>246.39</v>
      </c>
    </row>
    <row r="261" spans="1:21" ht="42.75" x14ac:dyDescent="0.2">
      <c r="A261" s="25" t="str">
        <f>Source!E198</f>
        <v>6</v>
      </c>
      <c r="B261" s="26" t="str">
        <f>Source!F198</f>
        <v>п01-11-024-01</v>
      </c>
      <c r="C261" s="26" t="str">
        <f>Source!G198</f>
        <v>Фазировка электрической линии или трансформатора с сетью напряжением до 1 кВ</v>
      </c>
      <c r="D261" s="28" t="str">
        <f>Source!H198</f>
        <v>ШТ</v>
      </c>
      <c r="E261" s="10">
        <f>Source!I198</f>
        <v>3</v>
      </c>
      <c r="F261" s="20"/>
      <c r="G261" s="29"/>
      <c r="H261" s="20"/>
      <c r="I261" s="29" t="str">
        <f>Source!BO198</f>
        <v/>
      </c>
      <c r="J261" s="20"/>
      <c r="R261">
        <f>ROUND((Source!FX198/100)*((ROUND(Source!AF198*Source!I198, 2)+ROUND(Source!AE198*Source!I198, 2))), 2)</f>
        <v>20.48</v>
      </c>
      <c r="S261">
        <f>Source!X198</f>
        <v>428.27</v>
      </c>
      <c r="T261">
        <f>ROUND((Source!FY198/100)*((ROUND(Source!AF198*Source!I198, 2)+ROUND(Source!AE198*Source!I198, 2))), 2)</f>
        <v>12.6</v>
      </c>
      <c r="U261">
        <f>Source!Y198</f>
        <v>249.18</v>
      </c>
    </row>
    <row r="262" spans="1:21" ht="14.25" x14ac:dyDescent="0.2">
      <c r="A262" s="25"/>
      <c r="B262" s="26"/>
      <c r="C262" s="26" t="s">
        <v>400</v>
      </c>
      <c r="D262" s="28"/>
      <c r="E262" s="10"/>
      <c r="F262" s="20">
        <f>Source!AO198</f>
        <v>10.5</v>
      </c>
      <c r="G262" s="29" t="str">
        <f>Source!DG198</f>
        <v/>
      </c>
      <c r="H262" s="20">
        <f>ROUND(Source!AF198*Source!I198, 2)</f>
        <v>31.5</v>
      </c>
      <c r="I262" s="29">
        <f>IF(Source!BA198&lt;&gt; 0, Source!BA198, 1)</f>
        <v>24.72</v>
      </c>
      <c r="J262" s="20">
        <f>Source!S198</f>
        <v>778.68</v>
      </c>
      <c r="Q262">
        <f>ROUND(Source!AF198*Source!I198, 2)</f>
        <v>31.5</v>
      </c>
    </row>
    <row r="263" spans="1:21" ht="14.25" x14ac:dyDescent="0.2">
      <c r="A263" s="25"/>
      <c r="B263" s="26"/>
      <c r="C263" s="26" t="str">
        <f>CONCATENATE("НР от ФОТ [к тек. уровню ", Source!FV198, "]")</f>
        <v>НР от ФОТ [к тек. уровню *0,85]</v>
      </c>
      <c r="D263" s="28" t="s">
        <v>401</v>
      </c>
      <c r="E263" s="10">
        <f>Source!BZ198</f>
        <v>65</v>
      </c>
      <c r="F263" s="20"/>
      <c r="G263" s="29"/>
      <c r="H263" s="20">
        <f>SUM(R261:R262)</f>
        <v>20.48</v>
      </c>
      <c r="I263" s="29">
        <f>Source!AT198</f>
        <v>55</v>
      </c>
      <c r="J263" s="20">
        <f>SUM(S261:S262)</f>
        <v>428.27</v>
      </c>
    </row>
    <row r="264" spans="1:21" ht="14.25" x14ac:dyDescent="0.2">
      <c r="A264" s="25"/>
      <c r="B264" s="26"/>
      <c r="C264" s="26" t="str">
        <f>CONCATENATE("СП от ФОТ [к тек. уровню ", Source!FW198, "]")</f>
        <v>СП от ФОТ [к тек. уровню *0,8]</v>
      </c>
      <c r="D264" s="28" t="s">
        <v>401</v>
      </c>
      <c r="E264" s="10">
        <f>Source!CA198</f>
        <v>40</v>
      </c>
      <c r="F264" s="20"/>
      <c r="G264" s="29"/>
      <c r="H264" s="20">
        <f>SUM(T261:T263)</f>
        <v>12.6</v>
      </c>
      <c r="I264" s="29">
        <f>Source!AU198</f>
        <v>32</v>
      </c>
      <c r="J264" s="20">
        <f>SUM(U261:U263)</f>
        <v>249.18</v>
      </c>
    </row>
    <row r="265" spans="1:21" ht="14.25" x14ac:dyDescent="0.2">
      <c r="A265" s="33"/>
      <c r="B265" s="34"/>
      <c r="C265" s="34" t="s">
        <v>402</v>
      </c>
      <c r="D265" s="35" t="s">
        <v>403</v>
      </c>
      <c r="E265" s="36">
        <f>Source!AQ198</f>
        <v>0.82</v>
      </c>
      <c r="F265" s="37"/>
      <c r="G265" s="38" t="str">
        <f>Source!DI198</f>
        <v/>
      </c>
      <c r="H265" s="37">
        <f>Source!U198</f>
        <v>2.46</v>
      </c>
      <c r="I265" s="38"/>
      <c r="J265" s="37"/>
    </row>
    <row r="266" spans="1:21" ht="15" x14ac:dyDescent="0.25">
      <c r="C266" s="31" t="s">
        <v>404</v>
      </c>
      <c r="G266" s="43">
        <f>ROUND(Source!AC198*Source!I198, 2)+ROUND(Source!AF198*Source!I198, 2)+ROUND(Source!AD198*Source!I198, 2)+SUM(H263:H264)</f>
        <v>64.58</v>
      </c>
      <c r="H266" s="43"/>
      <c r="I266" s="43">
        <f>Source!P198+Source!Q198+Source!S198+SUM(J263:J264)</f>
        <v>1456.13</v>
      </c>
      <c r="J266" s="43"/>
      <c r="O266" s="32">
        <f>G266</f>
        <v>64.58</v>
      </c>
      <c r="P266" s="32">
        <f>I266</f>
        <v>1456.13</v>
      </c>
    </row>
    <row r="268" spans="1:21" ht="15" x14ac:dyDescent="0.25">
      <c r="A268" s="42" t="str">
        <f>CONCATENATE("Итого по разделу: ",IF(Source!G200&lt;&gt;"Новый раздел", Source!G200, ""))</f>
        <v>Итого по разделу: РУ 0,4 кВ №2</v>
      </c>
      <c r="B268" s="42"/>
      <c r="C268" s="42"/>
      <c r="D268" s="42"/>
      <c r="E268" s="42"/>
      <c r="F268" s="42"/>
      <c r="G268" s="43">
        <f>SUM(O254:O267)</f>
        <v>75.5</v>
      </c>
      <c r="H268" s="43"/>
      <c r="I268" s="43">
        <f>SUM(P254:P267)</f>
        <v>1702.52</v>
      </c>
      <c r="J268" s="43"/>
    </row>
    <row r="270" spans="1:21" ht="15" x14ac:dyDescent="0.25">
      <c r="A270" s="42" t="str">
        <f>CONCATENATE("Итого по локальной смете: ",IF(Source!G229&lt;&gt;"Новая локальная смета", Source!G229, ""))</f>
        <v xml:space="preserve">Итого по локальной смете: </v>
      </c>
      <c r="B270" s="42"/>
      <c r="C270" s="42"/>
      <c r="D270" s="42"/>
      <c r="E270" s="42"/>
      <c r="F270" s="42"/>
      <c r="G270" s="43">
        <f>SUM(O223:O269)</f>
        <v>885.69</v>
      </c>
      <c r="H270" s="43"/>
      <c r="I270" s="43">
        <f>SUM(P223:P269)</f>
        <v>19971.670000000002</v>
      </c>
      <c r="J270" s="43"/>
    </row>
    <row r="272" spans="1:21" ht="15" customHeight="1" x14ac:dyDescent="0.25">
      <c r="A272" s="42" t="s">
        <v>433</v>
      </c>
      <c r="B272" s="42"/>
      <c r="C272" s="42"/>
      <c r="D272" s="42"/>
      <c r="E272" s="42"/>
      <c r="F272" s="42"/>
    </row>
    <row r="274" spans="1:10" ht="15" x14ac:dyDescent="0.25">
      <c r="A274" s="42" t="s">
        <v>420</v>
      </c>
      <c r="B274" s="42"/>
      <c r="C274" s="42"/>
      <c r="D274" s="42"/>
      <c r="E274" s="42"/>
      <c r="F274" s="42"/>
      <c r="G274" s="45"/>
      <c r="H274" s="45"/>
      <c r="I274" s="45"/>
      <c r="J274" s="45"/>
    </row>
    <row r="276" spans="1:10" ht="15" x14ac:dyDescent="0.25">
      <c r="A276" s="42" t="s">
        <v>421</v>
      </c>
      <c r="B276" s="42"/>
      <c r="C276" s="42"/>
      <c r="D276" s="42"/>
      <c r="E276" s="42"/>
      <c r="F276" s="42"/>
      <c r="G276" s="43"/>
      <c r="H276" s="43"/>
      <c r="I276" s="43"/>
      <c r="J276" s="43"/>
    </row>
    <row r="279" spans="1:10" ht="14.25" x14ac:dyDescent="0.2">
      <c r="A279" s="59"/>
      <c r="B279" s="59"/>
      <c r="C279" s="60"/>
      <c r="D279" s="60"/>
      <c r="E279" s="60"/>
      <c r="F279" s="60"/>
      <c r="G279" s="60"/>
      <c r="H279" s="60"/>
      <c r="I279" s="60"/>
      <c r="J279" s="13"/>
    </row>
    <row r="280" spans="1:10" ht="14.25" x14ac:dyDescent="0.2">
      <c r="A280" s="60"/>
      <c r="B280" s="60"/>
      <c r="C280" s="61"/>
      <c r="D280" s="61"/>
      <c r="E280" s="61"/>
      <c r="F280" s="61"/>
      <c r="G280" s="61"/>
      <c r="H280" s="60"/>
      <c r="I280" s="60"/>
      <c r="J280" s="13"/>
    </row>
    <row r="281" spans="1:10" ht="14.25" x14ac:dyDescent="0.2">
      <c r="A281" s="60"/>
      <c r="B281" s="60"/>
      <c r="C281" s="60"/>
      <c r="D281" s="60"/>
      <c r="E281" s="60"/>
      <c r="F281" s="60"/>
      <c r="G281" s="60"/>
      <c r="H281" s="60"/>
      <c r="I281" s="60"/>
      <c r="J281" s="13"/>
    </row>
    <row r="282" spans="1:10" ht="14.25" x14ac:dyDescent="0.2">
      <c r="A282" s="59"/>
      <c r="B282" s="59"/>
      <c r="C282" s="60"/>
      <c r="D282" s="60"/>
      <c r="E282" s="60"/>
      <c r="F282" s="60"/>
      <c r="G282" s="60"/>
      <c r="H282" s="60"/>
      <c r="I282" s="60"/>
      <c r="J282" s="13"/>
    </row>
    <row r="283" spans="1:10" ht="14.25" x14ac:dyDescent="0.2">
      <c r="A283" s="60"/>
      <c r="B283" s="60"/>
      <c r="C283" s="61"/>
      <c r="D283" s="61"/>
      <c r="E283" s="61"/>
      <c r="F283" s="61"/>
      <c r="G283" s="61"/>
      <c r="H283" s="60"/>
      <c r="I283" s="60"/>
      <c r="J283" s="13"/>
    </row>
  </sheetData>
  <mergeCells count="132">
    <mergeCell ref="A272:F272"/>
    <mergeCell ref="B10:E10"/>
    <mergeCell ref="G10:J10"/>
    <mergeCell ref="A13:J13"/>
    <mergeCell ref="A14:J14"/>
    <mergeCell ref="A16:J16"/>
    <mergeCell ref="A17:J17"/>
    <mergeCell ref="B5:E5"/>
    <mergeCell ref="G5:J5"/>
    <mergeCell ref="B6:E6"/>
    <mergeCell ref="G6:J6"/>
    <mergeCell ref="B9:E9"/>
    <mergeCell ref="G9:J9"/>
    <mergeCell ref="E28:G28"/>
    <mergeCell ref="A34:J34"/>
    <mergeCell ref="I41:J41"/>
    <mergeCell ref="G41:H41"/>
    <mergeCell ref="I48:J48"/>
    <mergeCell ref="G48:H48"/>
    <mergeCell ref="A19:J19"/>
    <mergeCell ref="A20:J20"/>
    <mergeCell ref="A22:J22"/>
    <mergeCell ref="E26:G26"/>
    <mergeCell ref="E27:G27"/>
    <mergeCell ref="I86:J86"/>
    <mergeCell ref="G86:H86"/>
    <mergeCell ref="I94:J94"/>
    <mergeCell ref="G94:H94"/>
    <mergeCell ref="I102:J102"/>
    <mergeCell ref="G102:H102"/>
    <mergeCell ref="I58:J58"/>
    <mergeCell ref="G58:H58"/>
    <mergeCell ref="I68:J68"/>
    <mergeCell ref="G68:H68"/>
    <mergeCell ref="I78:J78"/>
    <mergeCell ref="G78:H78"/>
    <mergeCell ref="I136:J136"/>
    <mergeCell ref="G136:H136"/>
    <mergeCell ref="A138:F138"/>
    <mergeCell ref="I138:J138"/>
    <mergeCell ref="G138:H138"/>
    <mergeCell ref="A142:J142"/>
    <mergeCell ref="I110:J110"/>
    <mergeCell ref="G110:H110"/>
    <mergeCell ref="I120:J120"/>
    <mergeCell ref="G120:H120"/>
    <mergeCell ref="I130:J130"/>
    <mergeCell ref="G130:H130"/>
    <mergeCell ref="A170:F170"/>
    <mergeCell ref="I170:J170"/>
    <mergeCell ref="G170:H170"/>
    <mergeCell ref="A172:F172"/>
    <mergeCell ref="I172:J172"/>
    <mergeCell ref="G172:H172"/>
    <mergeCell ref="I150:J150"/>
    <mergeCell ref="G150:H150"/>
    <mergeCell ref="I158:J158"/>
    <mergeCell ref="G158:H158"/>
    <mergeCell ref="I168:J168"/>
    <mergeCell ref="G168:H168"/>
    <mergeCell ref="A191:B191"/>
    <mergeCell ref="C192:G192"/>
    <mergeCell ref="B195:E195"/>
    <mergeCell ref="G195:J195"/>
    <mergeCell ref="B196:E196"/>
    <mergeCell ref="G196:J196"/>
    <mergeCell ref="C174:H174"/>
    <mergeCell ref="I174:J174"/>
    <mergeCell ref="I176:J176"/>
    <mergeCell ref="A188:B188"/>
    <mergeCell ref="C189:G189"/>
    <mergeCell ref="G178:H178"/>
    <mergeCell ref="I178:J178"/>
    <mergeCell ref="I180:J180"/>
    <mergeCell ref="A182:F182"/>
    <mergeCell ref="A209:J209"/>
    <mergeCell ref="A210:J210"/>
    <mergeCell ref="A212:J212"/>
    <mergeCell ref="B199:E199"/>
    <mergeCell ref="G199:J199"/>
    <mergeCell ref="B200:E200"/>
    <mergeCell ref="G200:J200"/>
    <mergeCell ref="A203:J203"/>
    <mergeCell ref="A204:J204"/>
    <mergeCell ref="A176:H176"/>
    <mergeCell ref="I184:J184"/>
    <mergeCell ref="A184:F184"/>
    <mergeCell ref="G184:H184"/>
    <mergeCell ref="A186:F186"/>
    <mergeCell ref="G186:H186"/>
    <mergeCell ref="I186:J186"/>
    <mergeCell ref="A178:F178"/>
    <mergeCell ref="A279:B279"/>
    <mergeCell ref="I266:J266"/>
    <mergeCell ref="G266:H266"/>
    <mergeCell ref="A268:F268"/>
    <mergeCell ref="I268:J268"/>
    <mergeCell ref="G268:H268"/>
    <mergeCell ref="A270:F270"/>
    <mergeCell ref="I270:J270"/>
    <mergeCell ref="G270:H270"/>
    <mergeCell ref="A250:F250"/>
    <mergeCell ref="I250:J250"/>
    <mergeCell ref="G250:H250"/>
    <mergeCell ref="A254:J254"/>
    <mergeCell ref="I260:J260"/>
    <mergeCell ref="G260:H260"/>
    <mergeCell ref="I236:J236"/>
    <mergeCell ref="A180:F180"/>
    <mergeCell ref="G180:H180"/>
    <mergeCell ref="A274:F274"/>
    <mergeCell ref="G274:H274"/>
    <mergeCell ref="I274:J274"/>
    <mergeCell ref="A276:F276"/>
    <mergeCell ref="G276:H276"/>
    <mergeCell ref="I276:J276"/>
    <mergeCell ref="C283:G283"/>
    <mergeCell ref="C280:G280"/>
    <mergeCell ref="A282:B282"/>
    <mergeCell ref="G236:H236"/>
    <mergeCell ref="I242:J242"/>
    <mergeCell ref="G242:H242"/>
    <mergeCell ref="I248:J248"/>
    <mergeCell ref="G248:H248"/>
    <mergeCell ref="E216:G216"/>
    <mergeCell ref="E217:G217"/>
    <mergeCell ref="E218:G218"/>
    <mergeCell ref="A224:J224"/>
    <mergeCell ref="I230:J230"/>
    <mergeCell ref="G230:H230"/>
    <mergeCell ref="A206:J206"/>
    <mergeCell ref="A207:J207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  <rowBreaks count="1" manualBreakCount="1">
    <brk id="1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21"/>
  <sheetViews>
    <sheetView topLeftCell="A199" workbookViewId="0">
      <selection activeCell="G229" sqref="G229"/>
    </sheetView>
  </sheetViews>
  <sheetFormatPr defaultColWidth="9.140625" defaultRowHeight="12.75" x14ac:dyDescent="0.2"/>
  <cols>
    <col min="1" max="5" width="9.140625" customWidth="1"/>
    <col min="6" max="6" width="12" customWidth="1"/>
    <col min="7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316</v>
      </c>
      <c r="C12" s="1">
        <v>0</v>
      </c>
      <c r="D12" s="1">
        <f>ROW(A258)</f>
        <v>258</v>
      </c>
      <c r="E12" s="1">
        <v>0</v>
      </c>
      <c r="F12" s="1" t="s">
        <v>4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5</v>
      </c>
      <c r="AC12" s="1" t="s">
        <v>6</v>
      </c>
      <c r="AD12" s="1" t="s">
        <v>7</v>
      </c>
      <c r="AE12" s="1" t="s">
        <v>8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9</v>
      </c>
      <c r="BI12" s="1" t="s">
        <v>10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11</v>
      </c>
      <c r="BZ12" s="1" t="s">
        <v>12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13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B258</f>
        <v>316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присоединение РУ 0,4 ТП 5891 (ФЕР 2017)</v>
      </c>
      <c r="G18" s="2" t="str">
        <f t="shared" si="0"/>
        <v>присоединение РУ 0,4 ТП 5891 (ФЕР 2017)</v>
      </c>
      <c r="H18" s="2"/>
      <c r="I18" s="2"/>
      <c r="J18" s="2"/>
      <c r="K18" s="2"/>
      <c r="L18" s="2"/>
      <c r="M18" s="2"/>
      <c r="N18" s="2"/>
      <c r="O18" s="2">
        <f t="shared" ref="O18:AT18" si="1">O258</f>
        <v>159028.12</v>
      </c>
      <c r="P18" s="2">
        <f t="shared" si="1"/>
        <v>114158.48</v>
      </c>
      <c r="Q18" s="2">
        <f t="shared" si="1"/>
        <v>817.05</v>
      </c>
      <c r="R18" s="2">
        <f t="shared" si="1"/>
        <v>239.15</v>
      </c>
      <c r="S18" s="2">
        <f t="shared" si="1"/>
        <v>44052.59</v>
      </c>
      <c r="T18" s="2">
        <f t="shared" si="1"/>
        <v>0</v>
      </c>
      <c r="U18" s="2">
        <f t="shared" si="1"/>
        <v>183.02568000000002</v>
      </c>
      <c r="V18" s="2">
        <f t="shared" si="1"/>
        <v>0.76433000000000006</v>
      </c>
      <c r="W18" s="2">
        <f t="shared" si="1"/>
        <v>0</v>
      </c>
      <c r="X18" s="2">
        <f t="shared" si="1"/>
        <v>32636.11</v>
      </c>
      <c r="Y18" s="2">
        <f t="shared" si="1"/>
        <v>20311.37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8730.1299999999992</v>
      </c>
      <c r="AP18" s="2">
        <f t="shared" si="1"/>
        <v>0</v>
      </c>
      <c r="AQ18" s="2">
        <f t="shared" si="1"/>
        <v>0</v>
      </c>
      <c r="AR18" s="2">
        <f t="shared" si="1"/>
        <v>211975.6</v>
      </c>
      <c r="AS18" s="2">
        <f t="shared" si="1"/>
        <v>33267.96</v>
      </c>
      <c r="AT18" s="2">
        <f t="shared" si="1"/>
        <v>158735.97</v>
      </c>
      <c r="AU18" s="2">
        <f t="shared" ref="AU18:BZ18" si="2">AU258</f>
        <v>19971.669999999998</v>
      </c>
      <c r="AV18" s="2">
        <f t="shared" si="2"/>
        <v>105428.35</v>
      </c>
      <c r="AW18" s="2">
        <f t="shared" si="2"/>
        <v>114158.48</v>
      </c>
      <c r="AX18" s="2">
        <f t="shared" si="2"/>
        <v>8730.1299999999992</v>
      </c>
      <c r="AY18" s="2">
        <f t="shared" si="2"/>
        <v>105428.35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CA258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DG258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EM258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FS258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ROW(A121)</f>
        <v>121</v>
      </c>
      <c r="E20" s="1"/>
      <c r="F20" s="1" t="s">
        <v>14</v>
      </c>
      <c r="G20" s="1" t="s">
        <v>15</v>
      </c>
      <c r="H20" s="1" t="s">
        <v>3</v>
      </c>
      <c r="I20" s="1">
        <v>0</v>
      </c>
      <c r="J20" s="1" t="s">
        <v>417</v>
      </c>
      <c r="K20" s="1">
        <v>-1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4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B121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04-01-01</v>
      </c>
      <c r="G22" s="2" t="str">
        <f t="shared" si="7"/>
        <v>Присоединенение РУ 0,4 кВ</v>
      </c>
      <c r="H22" s="2"/>
      <c r="I22" s="2"/>
      <c r="J22" s="2"/>
      <c r="K22" s="2"/>
      <c r="L22" s="2"/>
      <c r="M22" s="2"/>
      <c r="N22" s="2"/>
      <c r="O22" s="2">
        <f t="shared" ref="O22:AT22" si="8">O121</f>
        <v>148348.07999999999</v>
      </c>
      <c r="P22" s="2">
        <f t="shared" si="8"/>
        <v>114158.48</v>
      </c>
      <c r="Q22" s="2">
        <f t="shared" si="8"/>
        <v>817.05</v>
      </c>
      <c r="R22" s="2">
        <f t="shared" si="8"/>
        <v>239.15</v>
      </c>
      <c r="S22" s="2">
        <f t="shared" si="8"/>
        <v>33372.550000000003</v>
      </c>
      <c r="T22" s="2">
        <f t="shared" si="8"/>
        <v>0</v>
      </c>
      <c r="U22" s="2">
        <f t="shared" si="8"/>
        <v>146.99168000000003</v>
      </c>
      <c r="V22" s="2">
        <f t="shared" si="8"/>
        <v>0.76433000000000006</v>
      </c>
      <c r="W22" s="2">
        <f t="shared" si="8"/>
        <v>0</v>
      </c>
      <c r="X22" s="2">
        <f t="shared" si="8"/>
        <v>26762.09</v>
      </c>
      <c r="Y22" s="2">
        <f t="shared" si="8"/>
        <v>16893.759999999998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8730.1299999999992</v>
      </c>
      <c r="AP22" s="2">
        <f t="shared" si="8"/>
        <v>0</v>
      </c>
      <c r="AQ22" s="2">
        <f t="shared" si="8"/>
        <v>0</v>
      </c>
      <c r="AR22" s="2">
        <f t="shared" si="8"/>
        <v>192003.93</v>
      </c>
      <c r="AS22" s="2">
        <f t="shared" si="8"/>
        <v>33267.96</v>
      </c>
      <c r="AT22" s="2">
        <f t="shared" si="8"/>
        <v>158735.97</v>
      </c>
      <c r="AU22" s="2">
        <f t="shared" ref="AU22:BZ22" si="9">AU121</f>
        <v>0</v>
      </c>
      <c r="AV22" s="2">
        <f t="shared" si="9"/>
        <v>105428.35</v>
      </c>
      <c r="AW22" s="2">
        <f t="shared" si="9"/>
        <v>114158.48</v>
      </c>
      <c r="AX22" s="2">
        <f t="shared" si="9"/>
        <v>8730.1299999999992</v>
      </c>
      <c r="AY22" s="2">
        <f t="shared" si="9"/>
        <v>105428.35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CA121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DG121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EM121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FS121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ROW(A52)</f>
        <v>52</v>
      </c>
      <c r="E24" s="1"/>
      <c r="F24" s="1" t="s">
        <v>16</v>
      </c>
      <c r="G24" s="1" t="s">
        <v>17</v>
      </c>
      <c r="H24" s="1" t="s">
        <v>3</v>
      </c>
      <c r="I24" s="1">
        <v>0</v>
      </c>
      <c r="J24" s="1"/>
      <c r="K24" s="1">
        <v>-1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4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B52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РУ 0,4 кВ №1</v>
      </c>
      <c r="H26" s="2"/>
      <c r="I26" s="2"/>
      <c r="J26" s="2"/>
      <c r="K26" s="2"/>
      <c r="L26" s="2"/>
      <c r="M26" s="2"/>
      <c r="N26" s="2"/>
      <c r="O26" s="2">
        <f t="shared" ref="O26:AT26" si="15">O52</f>
        <v>141028.85</v>
      </c>
      <c r="P26" s="2">
        <f t="shared" si="15"/>
        <v>108736.97</v>
      </c>
      <c r="Q26" s="2">
        <f t="shared" si="15"/>
        <v>763.72</v>
      </c>
      <c r="R26" s="2">
        <f t="shared" si="15"/>
        <v>224.26</v>
      </c>
      <c r="S26" s="2">
        <f t="shared" si="15"/>
        <v>31528.16</v>
      </c>
      <c r="T26" s="2">
        <f t="shared" si="15"/>
        <v>0</v>
      </c>
      <c r="U26" s="2">
        <f t="shared" si="15"/>
        <v>138.96488000000002</v>
      </c>
      <c r="V26" s="2">
        <f t="shared" si="15"/>
        <v>0.71633000000000002</v>
      </c>
      <c r="W26" s="2">
        <f t="shared" si="15"/>
        <v>0</v>
      </c>
      <c r="X26" s="2">
        <f t="shared" si="15"/>
        <v>25256.07</v>
      </c>
      <c r="Y26" s="2">
        <f t="shared" si="15"/>
        <v>15926.94</v>
      </c>
      <c r="Z26" s="2">
        <f t="shared" si="15"/>
        <v>0</v>
      </c>
      <c r="AA26" s="2">
        <f t="shared" si="15"/>
        <v>0</v>
      </c>
      <c r="AB26" s="2">
        <f t="shared" si="15"/>
        <v>141028.85</v>
      </c>
      <c r="AC26" s="2">
        <f t="shared" si="15"/>
        <v>108736.97</v>
      </c>
      <c r="AD26" s="2">
        <f t="shared" si="15"/>
        <v>763.72</v>
      </c>
      <c r="AE26" s="2">
        <f t="shared" si="15"/>
        <v>224.26</v>
      </c>
      <c r="AF26" s="2">
        <f t="shared" si="15"/>
        <v>31528.16</v>
      </c>
      <c r="AG26" s="2">
        <f t="shared" si="15"/>
        <v>0</v>
      </c>
      <c r="AH26" s="2">
        <f t="shared" si="15"/>
        <v>138.96488000000002</v>
      </c>
      <c r="AI26" s="2">
        <f t="shared" si="15"/>
        <v>0.71633000000000002</v>
      </c>
      <c r="AJ26" s="2">
        <f t="shared" si="15"/>
        <v>0</v>
      </c>
      <c r="AK26" s="2">
        <f t="shared" si="15"/>
        <v>25256.07</v>
      </c>
      <c r="AL26" s="2">
        <f t="shared" si="15"/>
        <v>15926.94</v>
      </c>
      <c r="AM26" s="2">
        <f t="shared" si="15"/>
        <v>0</v>
      </c>
      <c r="AN26" s="2">
        <f t="shared" si="15"/>
        <v>0</v>
      </c>
      <c r="AO26" s="2">
        <f t="shared" si="15"/>
        <v>8730.1299999999992</v>
      </c>
      <c r="AP26" s="2">
        <f t="shared" si="15"/>
        <v>0</v>
      </c>
      <c r="AQ26" s="2">
        <f t="shared" si="15"/>
        <v>0</v>
      </c>
      <c r="AR26" s="2">
        <f t="shared" si="15"/>
        <v>182211.86</v>
      </c>
      <c r="AS26" s="2">
        <f t="shared" si="15"/>
        <v>33267.96</v>
      </c>
      <c r="AT26" s="2">
        <f t="shared" si="15"/>
        <v>148943.9</v>
      </c>
      <c r="AU26" s="2">
        <f t="shared" ref="AU26:BZ26" si="16">AU52</f>
        <v>0</v>
      </c>
      <c r="AV26" s="2">
        <f t="shared" si="16"/>
        <v>100006.84</v>
      </c>
      <c r="AW26" s="2">
        <f t="shared" si="16"/>
        <v>108736.97</v>
      </c>
      <c r="AX26" s="2">
        <f t="shared" si="16"/>
        <v>8730.1299999999992</v>
      </c>
      <c r="AY26" s="2">
        <f t="shared" si="16"/>
        <v>100006.84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8730.1299999999992</v>
      </c>
      <c r="BY26" s="2">
        <f t="shared" si="16"/>
        <v>0</v>
      </c>
      <c r="BZ26" s="2">
        <f t="shared" si="16"/>
        <v>0</v>
      </c>
      <c r="CA26" s="2">
        <f t="shared" ref="CA26:DF26" si="17">CA52</f>
        <v>182211.86</v>
      </c>
      <c r="CB26" s="2">
        <f t="shared" si="17"/>
        <v>33267.96</v>
      </c>
      <c r="CC26" s="2">
        <f t="shared" si="17"/>
        <v>148943.9</v>
      </c>
      <c r="CD26" s="2">
        <f t="shared" si="17"/>
        <v>0</v>
      </c>
      <c r="CE26" s="2">
        <f t="shared" si="17"/>
        <v>100006.84</v>
      </c>
      <c r="CF26" s="2">
        <f t="shared" si="17"/>
        <v>108736.97</v>
      </c>
      <c r="CG26" s="2">
        <f t="shared" si="17"/>
        <v>8730.1299999999992</v>
      </c>
      <c r="CH26" s="2">
        <f t="shared" si="17"/>
        <v>100006.84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DG52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EM52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FS52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ROW(SmtRes!A2)</f>
        <v>2</v>
      </c>
      <c r="D28">
        <f>ROW(EtalonRes!A1)</f>
        <v>1</v>
      </c>
      <c r="E28" t="s">
        <v>18</v>
      </c>
      <c r="F28" t="s">
        <v>19</v>
      </c>
      <c r="G28" t="s">
        <v>20</v>
      </c>
      <c r="H28" t="s">
        <v>21</v>
      </c>
      <c r="I28">
        <f>ROUND((7/100)*1,9)</f>
        <v>7.0000000000000007E-2</v>
      </c>
      <c r="J28">
        <v>0</v>
      </c>
      <c r="O28">
        <f t="shared" ref="O28:O50" si="21">ROUND(CP28,2)</f>
        <v>1148.55</v>
      </c>
      <c r="P28">
        <f t="shared" ref="P28:P50" si="22">ROUND(CQ28*I28,2)</f>
        <v>0</v>
      </c>
      <c r="Q28">
        <f t="shared" ref="Q28:Q50" si="23">ROUND(CR28*I28,2)</f>
        <v>0</v>
      </c>
      <c r="R28">
        <f t="shared" ref="R28:R50" si="24">ROUND(CS28*I28,2)</f>
        <v>0</v>
      </c>
      <c r="S28">
        <f t="shared" ref="S28:S50" si="25">ROUND(CT28*I28,2)</f>
        <v>1148.55</v>
      </c>
      <c r="T28">
        <f t="shared" ref="T28:T50" si="26">ROUND(CU28*I28,2)</f>
        <v>0</v>
      </c>
      <c r="U28">
        <f t="shared" ref="U28:U50" si="27">CV28*I28</f>
        <v>6.1950000000000003</v>
      </c>
      <c r="V28">
        <f t="shared" ref="V28:V50" si="28">CW28*I28</f>
        <v>0</v>
      </c>
      <c r="W28">
        <f t="shared" ref="W28:W50" si="29">ROUND(CX28*I28,2)</f>
        <v>0</v>
      </c>
      <c r="X28">
        <f t="shared" ref="X28:X50" si="30">ROUND(CY28,2)</f>
        <v>781.01</v>
      </c>
      <c r="Y28">
        <f t="shared" ref="Y28:Y50" si="31">ROUND(CZ28,2)</f>
        <v>413.48</v>
      </c>
      <c r="AA28">
        <v>35007309</v>
      </c>
      <c r="AB28">
        <f t="shared" ref="AB28:AB50" si="32">ROUND((AC28+AD28+AF28),2)</f>
        <v>663.75</v>
      </c>
      <c r="AC28">
        <f t="shared" ref="AC28:AC49" si="33">ROUND((ES28),2)</f>
        <v>0</v>
      </c>
      <c r="AD28">
        <f t="shared" ref="AD28:AD49" si="34">ROUND((((ET28)-(EU28))+AE28),2)</f>
        <v>0</v>
      </c>
      <c r="AE28">
        <f t="shared" ref="AE28:AE49" si="35">ROUND((EU28),2)</f>
        <v>0</v>
      </c>
      <c r="AF28">
        <f t="shared" ref="AF28:AF49" si="36">ROUND((EV28),2)</f>
        <v>663.75</v>
      </c>
      <c r="AG28">
        <f t="shared" ref="AG28:AG50" si="37">ROUND((AP28),2)</f>
        <v>0</v>
      </c>
      <c r="AH28">
        <f t="shared" ref="AH28:AH49" si="38">(EW28)</f>
        <v>88.5</v>
      </c>
      <c r="AI28">
        <f t="shared" ref="AI28:AI49" si="39">(EX28)</f>
        <v>0</v>
      </c>
      <c r="AJ28">
        <f t="shared" ref="AJ28:AJ50" si="40">ROUND((AS28),2)</f>
        <v>0</v>
      </c>
      <c r="AK28">
        <v>663.75</v>
      </c>
      <c r="AL28">
        <v>0</v>
      </c>
      <c r="AM28">
        <v>0</v>
      </c>
      <c r="AN28">
        <v>0</v>
      </c>
      <c r="AO28">
        <v>663.75</v>
      </c>
      <c r="AP28">
        <v>0</v>
      </c>
      <c r="AQ28">
        <v>88.5</v>
      </c>
      <c r="AR28">
        <v>0</v>
      </c>
      <c r="AS28">
        <v>0</v>
      </c>
      <c r="AT28">
        <v>68</v>
      </c>
      <c r="AU28">
        <v>36</v>
      </c>
      <c r="AV28">
        <v>1</v>
      </c>
      <c r="AW28">
        <v>1</v>
      </c>
      <c r="AZ28">
        <v>1</v>
      </c>
      <c r="BA28">
        <v>24.72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22</v>
      </c>
      <c r="BM28">
        <v>1003</v>
      </c>
      <c r="BN28">
        <v>31265683</v>
      </c>
      <c r="BO28" t="s">
        <v>19</v>
      </c>
      <c r="BP28">
        <v>1</v>
      </c>
      <c r="BQ28">
        <v>2</v>
      </c>
      <c r="BR28">
        <v>0</v>
      </c>
      <c r="BS28">
        <v>24.72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80</v>
      </c>
      <c r="CA28">
        <v>45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50" si="41">(P28+Q28+S28)</f>
        <v>1148.55</v>
      </c>
      <c r="CQ28">
        <f t="shared" ref="CQ28:CQ50" si="42">AC28*BC28</f>
        <v>0</v>
      </c>
      <c r="CR28">
        <f t="shared" ref="CR28:CR50" si="43">AD28*BB28</f>
        <v>0</v>
      </c>
      <c r="CS28">
        <f t="shared" ref="CS28:CS50" si="44">AE28*BS28</f>
        <v>0</v>
      </c>
      <c r="CT28">
        <f t="shared" ref="CT28:CT50" si="45">AF28*BA28</f>
        <v>16407.899999999998</v>
      </c>
      <c r="CU28">
        <f t="shared" ref="CU28:CU50" si="46">AG28</f>
        <v>0</v>
      </c>
      <c r="CV28">
        <f t="shared" ref="CV28:CV50" si="47">AH28</f>
        <v>88.5</v>
      </c>
      <c r="CW28">
        <f t="shared" ref="CW28:CW50" si="48">AI28</f>
        <v>0</v>
      </c>
      <c r="CX28">
        <f t="shared" ref="CX28:CX50" si="49">AJ28</f>
        <v>0</v>
      </c>
      <c r="CY28">
        <f t="shared" ref="CY28:CY50" si="50">(((S28+R28)*AT28)/100)</f>
        <v>781.0139999999999</v>
      </c>
      <c r="CZ28">
        <f t="shared" ref="CZ28:CZ50" si="51">(((S28+R28)*AU28)/100)</f>
        <v>413.47799999999995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21</v>
      </c>
      <c r="DW28" t="s">
        <v>21</v>
      </c>
      <c r="DX28">
        <v>100</v>
      </c>
      <c r="EE28">
        <v>31265815</v>
      </c>
      <c r="EF28">
        <v>2</v>
      </c>
      <c r="EG28" t="s">
        <v>23</v>
      </c>
      <c r="EH28">
        <v>0</v>
      </c>
      <c r="EI28" t="s">
        <v>3</v>
      </c>
      <c r="EJ28">
        <v>1</v>
      </c>
      <c r="EK28">
        <v>1003</v>
      </c>
      <c r="EL28" t="s">
        <v>24</v>
      </c>
      <c r="EM28" t="s">
        <v>25</v>
      </c>
      <c r="EO28" t="s">
        <v>3</v>
      </c>
      <c r="EQ28">
        <v>0</v>
      </c>
      <c r="ER28">
        <v>663.75</v>
      </c>
      <c r="ES28">
        <v>0</v>
      </c>
      <c r="ET28">
        <v>0</v>
      </c>
      <c r="EU28">
        <v>0</v>
      </c>
      <c r="EV28">
        <v>663.75</v>
      </c>
      <c r="EW28">
        <v>88.5</v>
      </c>
      <c r="EX28">
        <v>0</v>
      </c>
      <c r="EY28">
        <v>0</v>
      </c>
      <c r="FQ28">
        <v>0</v>
      </c>
      <c r="FR28">
        <f t="shared" ref="FR28:FR50" si="52">ROUND(IF(AND(BH28=3,BI28=3),P28,0),2)</f>
        <v>0</v>
      </c>
      <c r="FS28">
        <v>0</v>
      </c>
      <c r="FV28" t="s">
        <v>26</v>
      </c>
      <c r="FW28" t="s">
        <v>27</v>
      </c>
      <c r="FX28">
        <v>80</v>
      </c>
      <c r="FY28">
        <v>45</v>
      </c>
      <c r="GA28" t="s">
        <v>3</v>
      </c>
      <c r="GD28">
        <v>0</v>
      </c>
      <c r="GF28">
        <v>818558459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50" si="53">ROUND(IF(AND(BH28=3,BI28=3,FS28&lt;&gt;0),P28,0),2)</f>
        <v>0</v>
      </c>
      <c r="GM28">
        <f t="shared" ref="GM28:GM50" si="54">ROUND(O28+X28+Y28+GK28,2)+GX28</f>
        <v>2343.04</v>
      </c>
      <c r="GN28">
        <f t="shared" ref="GN28:GN50" si="55">IF(OR(BI28=0,BI28=1),ROUND(O28+X28+Y28+GK28,2),0)</f>
        <v>2343.04</v>
      </c>
      <c r="GO28">
        <f t="shared" ref="GO28:GO50" si="56">IF(BI28=2,ROUND(O28+X28+Y28+GK28,2),0)</f>
        <v>0</v>
      </c>
      <c r="GP28">
        <f t="shared" ref="GP28:GP50" si="57">IF(BI28=4,ROUND(O28+X28+Y28+GK28,2)+GX28,0)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50" si="58">ROUND(GT28,2)</f>
        <v>0</v>
      </c>
      <c r="GW28">
        <v>1</v>
      </c>
      <c r="GX28">
        <f t="shared" ref="GX28:GX50" si="59">ROUND(GV28*GW28*I28,2)</f>
        <v>0</v>
      </c>
      <c r="HA28">
        <v>0</v>
      </c>
      <c r="HB28">
        <v>0</v>
      </c>
      <c r="IK28">
        <v>0</v>
      </c>
    </row>
    <row r="29" spans="1:245" x14ac:dyDescent="0.2">
      <c r="A29">
        <v>18</v>
      </c>
      <c r="B29">
        <v>1</v>
      </c>
      <c r="C29">
        <v>2</v>
      </c>
      <c r="E29" t="s">
        <v>28</v>
      </c>
      <c r="F29" t="s">
        <v>29</v>
      </c>
      <c r="G29" t="s">
        <v>30</v>
      </c>
      <c r="H29" t="s">
        <v>31</v>
      </c>
      <c r="I29">
        <f>I28*J29</f>
        <v>7</v>
      </c>
      <c r="J29">
        <v>99.999999999999986</v>
      </c>
      <c r="O29">
        <f t="shared" si="21"/>
        <v>3195.13</v>
      </c>
      <c r="P29">
        <f t="shared" si="22"/>
        <v>3195.13</v>
      </c>
      <c r="Q29">
        <f t="shared" si="23"/>
        <v>0</v>
      </c>
      <c r="R29">
        <f t="shared" si="24"/>
        <v>0</v>
      </c>
      <c r="S29">
        <f t="shared" si="25"/>
        <v>0</v>
      </c>
      <c r="T29">
        <f t="shared" si="26"/>
        <v>0</v>
      </c>
      <c r="U29">
        <f t="shared" si="27"/>
        <v>0</v>
      </c>
      <c r="V29">
        <f t="shared" si="28"/>
        <v>0</v>
      </c>
      <c r="W29">
        <f t="shared" si="29"/>
        <v>0</v>
      </c>
      <c r="X29">
        <f t="shared" si="30"/>
        <v>0</v>
      </c>
      <c r="Y29">
        <f t="shared" si="31"/>
        <v>0</v>
      </c>
      <c r="AA29">
        <v>35007309</v>
      </c>
      <c r="AB29">
        <f t="shared" si="32"/>
        <v>55.26</v>
      </c>
      <c r="AC29">
        <f t="shared" si="33"/>
        <v>55.26</v>
      </c>
      <c r="AD29">
        <f t="shared" si="34"/>
        <v>0</v>
      </c>
      <c r="AE29">
        <f t="shared" si="35"/>
        <v>0</v>
      </c>
      <c r="AF29">
        <f t="shared" si="36"/>
        <v>0</v>
      </c>
      <c r="AG29">
        <f t="shared" si="37"/>
        <v>0</v>
      </c>
      <c r="AH29">
        <f t="shared" si="38"/>
        <v>0</v>
      </c>
      <c r="AI29">
        <f t="shared" si="39"/>
        <v>0</v>
      </c>
      <c r="AJ29">
        <f t="shared" si="40"/>
        <v>0</v>
      </c>
      <c r="AK29">
        <v>55.26</v>
      </c>
      <c r="AL29">
        <v>55.26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68</v>
      </c>
      <c r="AU29">
        <v>36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8.26</v>
      </c>
      <c r="BD29" t="s">
        <v>3</v>
      </c>
      <c r="BE29" t="s">
        <v>3</v>
      </c>
      <c r="BF29" t="s">
        <v>3</v>
      </c>
      <c r="BG29" t="s">
        <v>3</v>
      </c>
      <c r="BH29">
        <v>3</v>
      </c>
      <c r="BI29">
        <v>1</v>
      </c>
      <c r="BJ29" t="s">
        <v>32</v>
      </c>
      <c r="BM29">
        <v>1003</v>
      </c>
      <c r="BN29">
        <v>0</v>
      </c>
      <c r="BO29" t="s">
        <v>29</v>
      </c>
      <c r="BP29">
        <v>1</v>
      </c>
      <c r="BQ29">
        <v>2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80</v>
      </c>
      <c r="CA29">
        <v>45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41"/>
        <v>3195.13</v>
      </c>
      <c r="CQ29">
        <f t="shared" si="42"/>
        <v>456.44759999999997</v>
      </c>
      <c r="CR29">
        <f t="shared" si="43"/>
        <v>0</v>
      </c>
      <c r="CS29">
        <f t="shared" si="44"/>
        <v>0</v>
      </c>
      <c r="CT29">
        <f t="shared" si="45"/>
        <v>0</v>
      </c>
      <c r="CU29">
        <f t="shared" si="46"/>
        <v>0</v>
      </c>
      <c r="CV29">
        <f t="shared" si="47"/>
        <v>0</v>
      </c>
      <c r="CW29">
        <f t="shared" si="48"/>
        <v>0</v>
      </c>
      <c r="CX29">
        <f t="shared" si="49"/>
        <v>0</v>
      </c>
      <c r="CY29">
        <f t="shared" si="50"/>
        <v>0</v>
      </c>
      <c r="CZ29">
        <f t="shared" si="51"/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1007</v>
      </c>
      <c r="DV29" t="s">
        <v>31</v>
      </c>
      <c r="DW29" t="s">
        <v>31</v>
      </c>
      <c r="DX29">
        <v>1</v>
      </c>
      <c r="EE29">
        <v>31265815</v>
      </c>
      <c r="EF29">
        <v>2</v>
      </c>
      <c r="EG29" t="s">
        <v>23</v>
      </c>
      <c r="EH29">
        <v>0</v>
      </c>
      <c r="EI29" t="s">
        <v>3</v>
      </c>
      <c r="EJ29">
        <v>1</v>
      </c>
      <c r="EK29">
        <v>1003</v>
      </c>
      <c r="EL29" t="s">
        <v>24</v>
      </c>
      <c r="EM29" t="s">
        <v>25</v>
      </c>
      <c r="EO29" t="s">
        <v>3</v>
      </c>
      <c r="EQ29">
        <v>0</v>
      </c>
      <c r="ER29">
        <v>55.26</v>
      </c>
      <c r="ES29">
        <v>55.26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52"/>
        <v>0</v>
      </c>
      <c r="FS29">
        <v>0</v>
      </c>
      <c r="FV29" t="s">
        <v>26</v>
      </c>
      <c r="FW29" t="s">
        <v>27</v>
      </c>
      <c r="FX29">
        <v>80</v>
      </c>
      <c r="FY29">
        <v>45</v>
      </c>
      <c r="GA29" t="s">
        <v>3</v>
      </c>
      <c r="GD29">
        <v>0</v>
      </c>
      <c r="GF29">
        <v>362385543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53"/>
        <v>0</v>
      </c>
      <c r="GM29">
        <f t="shared" si="54"/>
        <v>3195.13</v>
      </c>
      <c r="GN29">
        <f t="shared" si="55"/>
        <v>3195.13</v>
      </c>
      <c r="GO29">
        <f t="shared" si="56"/>
        <v>0</v>
      </c>
      <c r="GP29">
        <f t="shared" si="57"/>
        <v>0</v>
      </c>
      <c r="GR29">
        <v>0</v>
      </c>
      <c r="GS29">
        <v>3</v>
      </c>
      <c r="GT29">
        <v>0</v>
      </c>
      <c r="GU29" t="s">
        <v>3</v>
      </c>
      <c r="GV29">
        <f t="shared" si="58"/>
        <v>0</v>
      </c>
      <c r="GW29">
        <v>1</v>
      </c>
      <c r="GX29">
        <f t="shared" si="59"/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ROW(SmtRes!A4)</f>
        <v>4</v>
      </c>
      <c r="D30">
        <f>ROW(EtalonRes!A2)</f>
        <v>2</v>
      </c>
      <c r="E30" t="s">
        <v>33</v>
      </c>
      <c r="F30" t="s">
        <v>34</v>
      </c>
      <c r="G30" t="s">
        <v>35</v>
      </c>
      <c r="H30" t="s">
        <v>21</v>
      </c>
      <c r="I30">
        <f>ROUND((16/100)*1,9)</f>
        <v>0.16</v>
      </c>
      <c r="J30">
        <v>0</v>
      </c>
      <c r="O30">
        <f t="shared" si="21"/>
        <v>2883.34</v>
      </c>
      <c r="P30">
        <f t="shared" si="22"/>
        <v>0</v>
      </c>
      <c r="Q30">
        <f t="shared" si="23"/>
        <v>0</v>
      </c>
      <c r="R30">
        <f t="shared" si="24"/>
        <v>0</v>
      </c>
      <c r="S30">
        <f t="shared" si="25"/>
        <v>2883.34</v>
      </c>
      <c r="T30">
        <f t="shared" si="26"/>
        <v>0</v>
      </c>
      <c r="U30">
        <f t="shared" si="27"/>
        <v>15.552000000000001</v>
      </c>
      <c r="V30">
        <f t="shared" si="28"/>
        <v>0</v>
      </c>
      <c r="W30">
        <f t="shared" si="29"/>
        <v>0</v>
      </c>
      <c r="X30">
        <f t="shared" si="30"/>
        <v>1960.67</v>
      </c>
      <c r="Y30">
        <f t="shared" si="31"/>
        <v>1038</v>
      </c>
      <c r="AA30">
        <v>35007309</v>
      </c>
      <c r="AB30">
        <f t="shared" si="32"/>
        <v>729</v>
      </c>
      <c r="AC30">
        <f t="shared" si="33"/>
        <v>0</v>
      </c>
      <c r="AD30">
        <f t="shared" si="34"/>
        <v>0</v>
      </c>
      <c r="AE30">
        <f t="shared" si="35"/>
        <v>0</v>
      </c>
      <c r="AF30">
        <f t="shared" si="36"/>
        <v>729</v>
      </c>
      <c r="AG30">
        <f t="shared" si="37"/>
        <v>0</v>
      </c>
      <c r="AH30">
        <f t="shared" si="38"/>
        <v>97.2</v>
      </c>
      <c r="AI30">
        <f t="shared" si="39"/>
        <v>0</v>
      </c>
      <c r="AJ30">
        <f t="shared" si="40"/>
        <v>0</v>
      </c>
      <c r="AK30">
        <v>729</v>
      </c>
      <c r="AL30">
        <v>0</v>
      </c>
      <c r="AM30">
        <v>0</v>
      </c>
      <c r="AN30">
        <v>0</v>
      </c>
      <c r="AO30">
        <v>729</v>
      </c>
      <c r="AP30">
        <v>0</v>
      </c>
      <c r="AQ30">
        <v>97.2</v>
      </c>
      <c r="AR30">
        <v>0</v>
      </c>
      <c r="AS30">
        <v>0</v>
      </c>
      <c r="AT30">
        <v>68</v>
      </c>
      <c r="AU30">
        <v>36</v>
      </c>
      <c r="AV30">
        <v>1</v>
      </c>
      <c r="AW30">
        <v>1</v>
      </c>
      <c r="AZ30">
        <v>1</v>
      </c>
      <c r="BA30">
        <v>24.72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36</v>
      </c>
      <c r="BM30">
        <v>1003</v>
      </c>
      <c r="BN30">
        <v>31265683</v>
      </c>
      <c r="BO30" t="s">
        <v>34</v>
      </c>
      <c r="BP30">
        <v>1</v>
      </c>
      <c r="BQ30">
        <v>2</v>
      </c>
      <c r="BR30">
        <v>0</v>
      </c>
      <c r="BS30">
        <v>24.72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80</v>
      </c>
      <c r="CA30">
        <v>45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41"/>
        <v>2883.34</v>
      </c>
      <c r="CQ30">
        <f t="shared" si="42"/>
        <v>0</v>
      </c>
      <c r="CR30">
        <f t="shared" si="43"/>
        <v>0</v>
      </c>
      <c r="CS30">
        <f t="shared" si="44"/>
        <v>0</v>
      </c>
      <c r="CT30">
        <f t="shared" si="45"/>
        <v>18020.879999999997</v>
      </c>
      <c r="CU30">
        <f t="shared" si="46"/>
        <v>0</v>
      </c>
      <c r="CV30">
        <f t="shared" si="47"/>
        <v>97.2</v>
      </c>
      <c r="CW30">
        <f t="shared" si="48"/>
        <v>0</v>
      </c>
      <c r="CX30">
        <f t="shared" si="49"/>
        <v>0</v>
      </c>
      <c r="CY30">
        <f t="shared" si="50"/>
        <v>1960.6712</v>
      </c>
      <c r="CZ30">
        <f t="shared" si="51"/>
        <v>1038.0024000000001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21</v>
      </c>
      <c r="DW30" t="s">
        <v>21</v>
      </c>
      <c r="DX30">
        <v>100</v>
      </c>
      <c r="EE30">
        <v>31265815</v>
      </c>
      <c r="EF30">
        <v>2</v>
      </c>
      <c r="EG30" t="s">
        <v>23</v>
      </c>
      <c r="EH30">
        <v>0</v>
      </c>
      <c r="EI30" t="s">
        <v>3</v>
      </c>
      <c r="EJ30">
        <v>1</v>
      </c>
      <c r="EK30">
        <v>1003</v>
      </c>
      <c r="EL30" t="s">
        <v>24</v>
      </c>
      <c r="EM30" t="s">
        <v>25</v>
      </c>
      <c r="EO30" t="s">
        <v>3</v>
      </c>
      <c r="EQ30">
        <v>0</v>
      </c>
      <c r="ER30">
        <v>729</v>
      </c>
      <c r="ES30">
        <v>0</v>
      </c>
      <c r="ET30">
        <v>0</v>
      </c>
      <c r="EU30">
        <v>0</v>
      </c>
      <c r="EV30">
        <v>729</v>
      </c>
      <c r="EW30">
        <v>97.2</v>
      </c>
      <c r="EX30">
        <v>0</v>
      </c>
      <c r="EY30">
        <v>0</v>
      </c>
      <c r="FQ30">
        <v>0</v>
      </c>
      <c r="FR30">
        <f t="shared" si="52"/>
        <v>0</v>
      </c>
      <c r="FS30">
        <v>0</v>
      </c>
      <c r="FV30" t="s">
        <v>26</v>
      </c>
      <c r="FW30" t="s">
        <v>27</v>
      </c>
      <c r="FX30">
        <v>80</v>
      </c>
      <c r="FY30">
        <v>45</v>
      </c>
      <c r="GA30" t="s">
        <v>3</v>
      </c>
      <c r="GD30">
        <v>0</v>
      </c>
      <c r="GF30">
        <v>1064263821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53"/>
        <v>0</v>
      </c>
      <c r="GM30">
        <f t="shared" si="54"/>
        <v>5882.01</v>
      </c>
      <c r="GN30">
        <f t="shared" si="55"/>
        <v>5882.01</v>
      </c>
      <c r="GO30">
        <f t="shared" si="56"/>
        <v>0</v>
      </c>
      <c r="GP30">
        <f t="shared" si="57"/>
        <v>0</v>
      </c>
      <c r="GR30">
        <v>0</v>
      </c>
      <c r="GS30">
        <v>3</v>
      </c>
      <c r="GT30">
        <v>0</v>
      </c>
      <c r="GU30" t="s">
        <v>3</v>
      </c>
      <c r="GV30">
        <f t="shared" si="58"/>
        <v>0</v>
      </c>
      <c r="GW30">
        <v>1</v>
      </c>
      <c r="GX30">
        <f t="shared" si="59"/>
        <v>0</v>
      </c>
      <c r="HA30">
        <v>0</v>
      </c>
      <c r="HB30">
        <v>0</v>
      </c>
      <c r="IK30">
        <v>0</v>
      </c>
    </row>
    <row r="31" spans="1:245" x14ac:dyDescent="0.2">
      <c r="A31">
        <v>18</v>
      </c>
      <c r="B31">
        <v>1</v>
      </c>
      <c r="C31">
        <v>4</v>
      </c>
      <c r="E31" t="s">
        <v>37</v>
      </c>
      <c r="F31" t="s">
        <v>38</v>
      </c>
      <c r="G31" t="s">
        <v>39</v>
      </c>
      <c r="H31" t="s">
        <v>31</v>
      </c>
      <c r="I31">
        <f>I30*J31</f>
        <v>16</v>
      </c>
      <c r="J31">
        <v>100</v>
      </c>
      <c r="O31">
        <f t="shared" si="21"/>
        <v>10476.59</v>
      </c>
      <c r="P31">
        <f t="shared" si="22"/>
        <v>10476.59</v>
      </c>
      <c r="Q31">
        <f t="shared" si="23"/>
        <v>0</v>
      </c>
      <c r="R31">
        <f t="shared" si="24"/>
        <v>0</v>
      </c>
      <c r="S31">
        <f t="shared" si="25"/>
        <v>0</v>
      </c>
      <c r="T31">
        <f t="shared" si="26"/>
        <v>0</v>
      </c>
      <c r="U31">
        <f t="shared" si="27"/>
        <v>0</v>
      </c>
      <c r="V31">
        <f t="shared" si="28"/>
        <v>0</v>
      </c>
      <c r="W31">
        <f t="shared" si="29"/>
        <v>0</v>
      </c>
      <c r="X31">
        <f t="shared" si="30"/>
        <v>0</v>
      </c>
      <c r="Y31">
        <f t="shared" si="31"/>
        <v>0</v>
      </c>
      <c r="AA31">
        <v>35007309</v>
      </c>
      <c r="AB31">
        <f t="shared" si="32"/>
        <v>112.7</v>
      </c>
      <c r="AC31">
        <f t="shared" si="33"/>
        <v>112.7</v>
      </c>
      <c r="AD31">
        <f t="shared" si="34"/>
        <v>0</v>
      </c>
      <c r="AE31">
        <f t="shared" si="35"/>
        <v>0</v>
      </c>
      <c r="AF31">
        <f t="shared" si="36"/>
        <v>0</v>
      </c>
      <c r="AG31">
        <f t="shared" si="37"/>
        <v>0</v>
      </c>
      <c r="AH31">
        <f t="shared" si="38"/>
        <v>0</v>
      </c>
      <c r="AI31">
        <f t="shared" si="39"/>
        <v>0</v>
      </c>
      <c r="AJ31">
        <f t="shared" si="40"/>
        <v>0</v>
      </c>
      <c r="AK31">
        <v>112.7</v>
      </c>
      <c r="AL31">
        <v>112.7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68</v>
      </c>
      <c r="AU31">
        <v>36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5.81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40</v>
      </c>
      <c r="BM31">
        <v>1003</v>
      </c>
      <c r="BN31">
        <v>0</v>
      </c>
      <c r="BO31" t="s">
        <v>38</v>
      </c>
      <c r="BP31">
        <v>1</v>
      </c>
      <c r="BQ31">
        <v>2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80</v>
      </c>
      <c r="CA31">
        <v>45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41"/>
        <v>10476.59</v>
      </c>
      <c r="CQ31">
        <f t="shared" si="42"/>
        <v>654.78699999999992</v>
      </c>
      <c r="CR31">
        <f t="shared" si="43"/>
        <v>0</v>
      </c>
      <c r="CS31">
        <f t="shared" si="44"/>
        <v>0</v>
      </c>
      <c r="CT31">
        <f t="shared" si="45"/>
        <v>0</v>
      </c>
      <c r="CU31">
        <f t="shared" si="46"/>
        <v>0</v>
      </c>
      <c r="CV31">
        <f t="shared" si="47"/>
        <v>0</v>
      </c>
      <c r="CW31">
        <f t="shared" si="48"/>
        <v>0</v>
      </c>
      <c r="CX31">
        <f t="shared" si="49"/>
        <v>0</v>
      </c>
      <c r="CY31">
        <f t="shared" si="50"/>
        <v>0</v>
      </c>
      <c r="CZ31">
        <f t="shared" si="51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31</v>
      </c>
      <c r="DW31" t="s">
        <v>31</v>
      </c>
      <c r="DX31">
        <v>1</v>
      </c>
      <c r="EE31">
        <v>31265815</v>
      </c>
      <c r="EF31">
        <v>2</v>
      </c>
      <c r="EG31" t="s">
        <v>23</v>
      </c>
      <c r="EH31">
        <v>0</v>
      </c>
      <c r="EI31" t="s">
        <v>3</v>
      </c>
      <c r="EJ31">
        <v>1</v>
      </c>
      <c r="EK31">
        <v>1003</v>
      </c>
      <c r="EL31" t="s">
        <v>24</v>
      </c>
      <c r="EM31" t="s">
        <v>25</v>
      </c>
      <c r="EO31" t="s">
        <v>3</v>
      </c>
      <c r="EQ31">
        <v>0</v>
      </c>
      <c r="ER31">
        <v>112.7</v>
      </c>
      <c r="ES31">
        <v>112.7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52"/>
        <v>0</v>
      </c>
      <c r="FS31">
        <v>0</v>
      </c>
      <c r="FV31" t="s">
        <v>26</v>
      </c>
      <c r="FW31" t="s">
        <v>27</v>
      </c>
      <c r="FX31">
        <v>80</v>
      </c>
      <c r="FY31">
        <v>45</v>
      </c>
      <c r="GA31" t="s">
        <v>3</v>
      </c>
      <c r="GD31">
        <v>0</v>
      </c>
      <c r="GF31">
        <v>-963716422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 t="shared" si="53"/>
        <v>0</v>
      </c>
      <c r="GM31">
        <f t="shared" si="54"/>
        <v>10476.59</v>
      </c>
      <c r="GN31">
        <f t="shared" si="55"/>
        <v>10476.59</v>
      </c>
      <c r="GO31">
        <f t="shared" si="56"/>
        <v>0</v>
      </c>
      <c r="GP31">
        <f t="shared" si="57"/>
        <v>0</v>
      </c>
      <c r="GR31">
        <v>0</v>
      </c>
      <c r="GS31">
        <v>3</v>
      </c>
      <c r="GT31">
        <v>0</v>
      </c>
      <c r="GU31" t="s">
        <v>3</v>
      </c>
      <c r="GV31">
        <f t="shared" si="58"/>
        <v>0</v>
      </c>
      <c r="GW31">
        <v>1</v>
      </c>
      <c r="GX31">
        <f t="shared" si="59"/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C32">
        <f>ROW(SmtRes!A13)</f>
        <v>13</v>
      </c>
      <c r="D32">
        <f>ROW(EtalonRes!A10)</f>
        <v>10</v>
      </c>
      <c r="E32" t="s">
        <v>41</v>
      </c>
      <c r="F32" t="s">
        <v>42</v>
      </c>
      <c r="G32" t="s">
        <v>43</v>
      </c>
      <c r="H32" t="s">
        <v>44</v>
      </c>
      <c r="I32">
        <v>2.2499999999999999E-2</v>
      </c>
      <c r="J32">
        <v>0</v>
      </c>
      <c r="O32">
        <f t="shared" si="21"/>
        <v>311.20999999999998</v>
      </c>
      <c r="P32">
        <f t="shared" si="22"/>
        <v>12.65</v>
      </c>
      <c r="Q32">
        <f t="shared" si="23"/>
        <v>55.55</v>
      </c>
      <c r="R32">
        <f t="shared" si="24"/>
        <v>17.45</v>
      </c>
      <c r="S32">
        <f t="shared" si="25"/>
        <v>243.01</v>
      </c>
      <c r="T32">
        <f t="shared" si="26"/>
        <v>0</v>
      </c>
      <c r="U32">
        <f t="shared" si="27"/>
        <v>1.0457999999999998</v>
      </c>
      <c r="V32">
        <f t="shared" si="28"/>
        <v>5.6249999999999994E-2</v>
      </c>
      <c r="W32">
        <f t="shared" si="29"/>
        <v>0</v>
      </c>
      <c r="X32">
        <f t="shared" si="30"/>
        <v>210.97</v>
      </c>
      <c r="Y32">
        <f t="shared" si="31"/>
        <v>135.44</v>
      </c>
      <c r="AA32">
        <v>35007309</v>
      </c>
      <c r="AB32">
        <f t="shared" si="32"/>
        <v>780.68</v>
      </c>
      <c r="AC32">
        <f t="shared" si="33"/>
        <v>52.95</v>
      </c>
      <c r="AD32">
        <f t="shared" si="34"/>
        <v>290.82</v>
      </c>
      <c r="AE32">
        <f t="shared" si="35"/>
        <v>31.38</v>
      </c>
      <c r="AF32">
        <f t="shared" si="36"/>
        <v>436.91</v>
      </c>
      <c r="AG32">
        <f t="shared" si="37"/>
        <v>0</v>
      </c>
      <c r="AH32">
        <f t="shared" si="38"/>
        <v>46.48</v>
      </c>
      <c r="AI32">
        <f t="shared" si="39"/>
        <v>2.5</v>
      </c>
      <c r="AJ32">
        <f t="shared" si="40"/>
        <v>0</v>
      </c>
      <c r="AK32">
        <v>780.68</v>
      </c>
      <c r="AL32">
        <v>52.95</v>
      </c>
      <c r="AM32">
        <v>290.82</v>
      </c>
      <c r="AN32">
        <v>31.38</v>
      </c>
      <c r="AO32">
        <v>436.91</v>
      </c>
      <c r="AP32">
        <v>0</v>
      </c>
      <c r="AQ32">
        <v>46.48</v>
      </c>
      <c r="AR32">
        <v>2.5</v>
      </c>
      <c r="AS32">
        <v>0</v>
      </c>
      <c r="AT32">
        <v>81</v>
      </c>
      <c r="AU32">
        <v>52</v>
      </c>
      <c r="AV32">
        <v>1</v>
      </c>
      <c r="AW32">
        <v>1</v>
      </c>
      <c r="AZ32">
        <v>1</v>
      </c>
      <c r="BA32">
        <v>24.72</v>
      </c>
      <c r="BB32">
        <v>8.49</v>
      </c>
      <c r="BC32">
        <v>10.62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2</v>
      </c>
      <c r="BJ32" t="s">
        <v>45</v>
      </c>
      <c r="BM32">
        <v>108001</v>
      </c>
      <c r="BN32">
        <v>31265683</v>
      </c>
      <c r="BO32" t="s">
        <v>42</v>
      </c>
      <c r="BP32">
        <v>1</v>
      </c>
      <c r="BQ32">
        <v>3</v>
      </c>
      <c r="BR32">
        <v>0</v>
      </c>
      <c r="BS32">
        <v>24.72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95</v>
      </c>
      <c r="CA32">
        <v>65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41"/>
        <v>311.20999999999998</v>
      </c>
      <c r="CQ32">
        <f t="shared" si="42"/>
        <v>562.32899999999995</v>
      </c>
      <c r="CR32">
        <f t="shared" si="43"/>
        <v>2469.0617999999999</v>
      </c>
      <c r="CS32">
        <f t="shared" si="44"/>
        <v>775.71359999999993</v>
      </c>
      <c r="CT32">
        <f t="shared" si="45"/>
        <v>10800.415199999999</v>
      </c>
      <c r="CU32">
        <f t="shared" si="46"/>
        <v>0</v>
      </c>
      <c r="CV32">
        <f t="shared" si="47"/>
        <v>46.48</v>
      </c>
      <c r="CW32">
        <f t="shared" si="48"/>
        <v>2.5</v>
      </c>
      <c r="CX32">
        <f t="shared" si="49"/>
        <v>0</v>
      </c>
      <c r="CY32">
        <f t="shared" si="50"/>
        <v>210.97259999999997</v>
      </c>
      <c r="CZ32">
        <f t="shared" si="51"/>
        <v>135.43919999999997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1009</v>
      </c>
      <c r="DV32" t="s">
        <v>44</v>
      </c>
      <c r="DW32" t="s">
        <v>44</v>
      </c>
      <c r="DX32">
        <v>1000</v>
      </c>
      <c r="EE32">
        <v>31265967</v>
      </c>
      <c r="EF32">
        <v>3</v>
      </c>
      <c r="EG32" t="s">
        <v>46</v>
      </c>
      <c r="EH32">
        <v>0</v>
      </c>
      <c r="EI32" t="s">
        <v>3</v>
      </c>
      <c r="EJ32">
        <v>2</v>
      </c>
      <c r="EK32">
        <v>108001</v>
      </c>
      <c r="EL32" t="s">
        <v>47</v>
      </c>
      <c r="EM32" t="s">
        <v>48</v>
      </c>
      <c r="EO32" t="s">
        <v>3</v>
      </c>
      <c r="EQ32">
        <v>0</v>
      </c>
      <c r="ER32">
        <v>780.68</v>
      </c>
      <c r="ES32">
        <v>52.95</v>
      </c>
      <c r="ET32">
        <v>290.82</v>
      </c>
      <c r="EU32">
        <v>31.38</v>
      </c>
      <c r="EV32">
        <v>436.91</v>
      </c>
      <c r="EW32">
        <v>46.48</v>
      </c>
      <c r="EX32">
        <v>2.5</v>
      </c>
      <c r="EY32">
        <v>0</v>
      </c>
      <c r="FQ32">
        <v>0</v>
      </c>
      <c r="FR32">
        <f t="shared" si="52"/>
        <v>0</v>
      </c>
      <c r="FS32">
        <v>0</v>
      </c>
      <c r="FV32" t="s">
        <v>26</v>
      </c>
      <c r="FW32" t="s">
        <v>27</v>
      </c>
      <c r="FX32">
        <v>95</v>
      </c>
      <c r="FY32">
        <v>65</v>
      </c>
      <c r="GA32" t="s">
        <v>3</v>
      </c>
      <c r="GD32">
        <v>0</v>
      </c>
      <c r="GF32">
        <v>-2010356219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53"/>
        <v>0</v>
      </c>
      <c r="GM32">
        <f t="shared" si="54"/>
        <v>657.62</v>
      </c>
      <c r="GN32">
        <f t="shared" si="55"/>
        <v>0</v>
      </c>
      <c r="GO32">
        <f t="shared" si="56"/>
        <v>657.62</v>
      </c>
      <c r="GP32">
        <f t="shared" si="57"/>
        <v>0</v>
      </c>
      <c r="GR32">
        <v>0</v>
      </c>
      <c r="GS32">
        <v>3</v>
      </c>
      <c r="GT32">
        <v>0</v>
      </c>
      <c r="GU32" t="s">
        <v>3</v>
      </c>
      <c r="GV32">
        <f t="shared" si="58"/>
        <v>0</v>
      </c>
      <c r="GW32">
        <v>1</v>
      </c>
      <c r="GX32">
        <f t="shared" si="59"/>
        <v>0</v>
      </c>
      <c r="HA32">
        <v>0</v>
      </c>
      <c r="HB32">
        <v>0</v>
      </c>
      <c r="IK32">
        <v>0</v>
      </c>
    </row>
    <row r="33" spans="1:245" x14ac:dyDescent="0.2">
      <c r="A33">
        <v>18</v>
      </c>
      <c r="B33">
        <v>1</v>
      </c>
      <c r="C33">
        <v>12</v>
      </c>
      <c r="E33" t="s">
        <v>49</v>
      </c>
      <c r="F33" t="s">
        <v>50</v>
      </c>
      <c r="G33" t="s">
        <v>51</v>
      </c>
      <c r="H33" t="s">
        <v>52</v>
      </c>
      <c r="I33">
        <f>I32*J33</f>
        <v>4.5</v>
      </c>
      <c r="J33">
        <v>200</v>
      </c>
      <c r="O33">
        <f t="shared" si="21"/>
        <v>2372.23</v>
      </c>
      <c r="P33">
        <f t="shared" si="22"/>
        <v>2372.23</v>
      </c>
      <c r="Q33">
        <f t="shared" si="23"/>
        <v>0</v>
      </c>
      <c r="R33">
        <f t="shared" si="24"/>
        <v>0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1"/>
        <v>0</v>
      </c>
      <c r="AA33">
        <v>35007309</v>
      </c>
      <c r="AB33">
        <f t="shared" si="32"/>
        <v>88.45</v>
      </c>
      <c r="AC33">
        <f t="shared" si="33"/>
        <v>88.45</v>
      </c>
      <c r="AD33">
        <f t="shared" si="34"/>
        <v>0</v>
      </c>
      <c r="AE33">
        <f t="shared" si="35"/>
        <v>0</v>
      </c>
      <c r="AF33">
        <f t="shared" si="36"/>
        <v>0</v>
      </c>
      <c r="AG33">
        <f t="shared" si="37"/>
        <v>0</v>
      </c>
      <c r="AH33">
        <f t="shared" si="38"/>
        <v>0</v>
      </c>
      <c r="AI33">
        <f t="shared" si="39"/>
        <v>0</v>
      </c>
      <c r="AJ33">
        <f t="shared" si="40"/>
        <v>0</v>
      </c>
      <c r="AK33">
        <v>88.45</v>
      </c>
      <c r="AL33">
        <v>88.45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81</v>
      </c>
      <c r="AU33">
        <v>52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5.96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2</v>
      </c>
      <c r="BJ33" t="s">
        <v>53</v>
      </c>
      <c r="BM33">
        <v>108001</v>
      </c>
      <c r="BN33">
        <v>0</v>
      </c>
      <c r="BO33" t="s">
        <v>50</v>
      </c>
      <c r="BP33">
        <v>1</v>
      </c>
      <c r="BQ33">
        <v>3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95</v>
      </c>
      <c r="CA33">
        <v>65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2372.23</v>
      </c>
      <c r="CQ33">
        <f t="shared" si="42"/>
        <v>527.16200000000003</v>
      </c>
      <c r="CR33">
        <f t="shared" si="43"/>
        <v>0</v>
      </c>
      <c r="CS33">
        <f t="shared" si="44"/>
        <v>0</v>
      </c>
      <c r="CT33">
        <f t="shared" si="45"/>
        <v>0</v>
      </c>
      <c r="CU33">
        <f t="shared" si="46"/>
        <v>0</v>
      </c>
      <c r="CV33">
        <f t="shared" si="47"/>
        <v>0</v>
      </c>
      <c r="CW33">
        <f t="shared" si="48"/>
        <v>0</v>
      </c>
      <c r="CX33">
        <f t="shared" si="49"/>
        <v>0</v>
      </c>
      <c r="CY33">
        <f t="shared" si="50"/>
        <v>0</v>
      </c>
      <c r="CZ33">
        <f t="shared" si="51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1010</v>
      </c>
      <c r="DV33" t="s">
        <v>52</v>
      </c>
      <c r="DW33" t="s">
        <v>52</v>
      </c>
      <c r="DX33">
        <v>1</v>
      </c>
      <c r="EE33">
        <v>31265967</v>
      </c>
      <c r="EF33">
        <v>3</v>
      </c>
      <c r="EG33" t="s">
        <v>46</v>
      </c>
      <c r="EH33">
        <v>0</v>
      </c>
      <c r="EI33" t="s">
        <v>3</v>
      </c>
      <c r="EJ33">
        <v>2</v>
      </c>
      <c r="EK33">
        <v>108001</v>
      </c>
      <c r="EL33" t="s">
        <v>47</v>
      </c>
      <c r="EM33" t="s">
        <v>48</v>
      </c>
      <c r="EO33" t="s">
        <v>3</v>
      </c>
      <c r="EQ33">
        <v>0</v>
      </c>
      <c r="ER33">
        <v>88.45</v>
      </c>
      <c r="ES33">
        <v>88.45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52"/>
        <v>0</v>
      </c>
      <c r="FS33">
        <v>0</v>
      </c>
      <c r="FV33" t="s">
        <v>26</v>
      </c>
      <c r="FW33" t="s">
        <v>27</v>
      </c>
      <c r="FX33">
        <v>95</v>
      </c>
      <c r="FY33">
        <v>65</v>
      </c>
      <c r="GA33" t="s">
        <v>3</v>
      </c>
      <c r="GD33">
        <v>0</v>
      </c>
      <c r="GF33">
        <v>-1959899177</v>
      </c>
      <c r="GG33">
        <v>2</v>
      </c>
      <c r="GH33">
        <v>1</v>
      </c>
      <c r="GI33">
        <v>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2372.23</v>
      </c>
      <c r="GN33">
        <f t="shared" si="55"/>
        <v>0</v>
      </c>
      <c r="GO33">
        <f t="shared" si="56"/>
        <v>2372.23</v>
      </c>
      <c r="GP33">
        <f t="shared" si="57"/>
        <v>0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C34">
        <f>ROW(SmtRes!A25)</f>
        <v>25</v>
      </c>
      <c r="D34">
        <f>ROW(EtalonRes!A21)</f>
        <v>21</v>
      </c>
      <c r="E34" t="s">
        <v>54</v>
      </c>
      <c r="F34" t="s">
        <v>55</v>
      </c>
      <c r="G34" t="s">
        <v>56</v>
      </c>
      <c r="H34" t="s">
        <v>57</v>
      </c>
      <c r="I34">
        <f>ROUND((48/100)*1,9)</f>
        <v>0.48</v>
      </c>
      <c r="J34">
        <v>0</v>
      </c>
      <c r="O34">
        <f t="shared" si="21"/>
        <v>1397.7</v>
      </c>
      <c r="P34">
        <f t="shared" si="22"/>
        <v>133.26</v>
      </c>
      <c r="Q34">
        <f t="shared" si="23"/>
        <v>199.5</v>
      </c>
      <c r="R34">
        <f t="shared" si="24"/>
        <v>59.57</v>
      </c>
      <c r="S34">
        <f t="shared" si="25"/>
        <v>1064.94</v>
      </c>
      <c r="T34">
        <f t="shared" si="26"/>
        <v>0</v>
      </c>
      <c r="U34">
        <f t="shared" si="27"/>
        <v>4.4783999999999997</v>
      </c>
      <c r="V34">
        <f t="shared" si="28"/>
        <v>0.192</v>
      </c>
      <c r="W34">
        <f t="shared" si="29"/>
        <v>0</v>
      </c>
      <c r="X34">
        <f t="shared" si="30"/>
        <v>910.85</v>
      </c>
      <c r="Y34">
        <f t="shared" si="31"/>
        <v>584.75</v>
      </c>
      <c r="AA34">
        <v>35007309</v>
      </c>
      <c r="AB34">
        <f t="shared" si="32"/>
        <v>163.93</v>
      </c>
      <c r="AC34">
        <f t="shared" si="33"/>
        <v>29.44</v>
      </c>
      <c r="AD34">
        <f t="shared" si="34"/>
        <v>44.74</v>
      </c>
      <c r="AE34">
        <f t="shared" si="35"/>
        <v>5.0199999999999996</v>
      </c>
      <c r="AF34">
        <f t="shared" si="36"/>
        <v>89.75</v>
      </c>
      <c r="AG34">
        <f t="shared" si="37"/>
        <v>0</v>
      </c>
      <c r="AH34">
        <f t="shared" si="38"/>
        <v>9.33</v>
      </c>
      <c r="AI34">
        <f t="shared" si="39"/>
        <v>0.4</v>
      </c>
      <c r="AJ34">
        <f t="shared" si="40"/>
        <v>0</v>
      </c>
      <c r="AK34">
        <v>163.93</v>
      </c>
      <c r="AL34">
        <v>29.44</v>
      </c>
      <c r="AM34">
        <v>44.74</v>
      </c>
      <c r="AN34">
        <v>5.0199999999999996</v>
      </c>
      <c r="AO34">
        <v>89.75</v>
      </c>
      <c r="AP34">
        <v>0</v>
      </c>
      <c r="AQ34">
        <v>9.33</v>
      </c>
      <c r="AR34">
        <v>0.4</v>
      </c>
      <c r="AS34">
        <v>0</v>
      </c>
      <c r="AT34">
        <v>81</v>
      </c>
      <c r="AU34">
        <v>52</v>
      </c>
      <c r="AV34">
        <v>1</v>
      </c>
      <c r="AW34">
        <v>1</v>
      </c>
      <c r="AZ34">
        <v>1</v>
      </c>
      <c r="BA34">
        <v>24.72</v>
      </c>
      <c r="BB34">
        <v>9.2899999999999991</v>
      </c>
      <c r="BC34">
        <v>9.43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2</v>
      </c>
      <c r="BJ34" t="s">
        <v>58</v>
      </c>
      <c r="BM34">
        <v>108001</v>
      </c>
      <c r="BN34">
        <v>31265683</v>
      </c>
      <c r="BO34" t="s">
        <v>55</v>
      </c>
      <c r="BP34">
        <v>1</v>
      </c>
      <c r="BQ34">
        <v>3</v>
      </c>
      <c r="BR34">
        <v>0</v>
      </c>
      <c r="BS34">
        <v>24.72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95</v>
      </c>
      <c r="CA34">
        <v>65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1397.7</v>
      </c>
      <c r="CQ34">
        <f t="shared" si="42"/>
        <v>277.61919999999998</v>
      </c>
      <c r="CR34">
        <f t="shared" si="43"/>
        <v>415.63459999999998</v>
      </c>
      <c r="CS34">
        <f t="shared" si="44"/>
        <v>124.09439999999998</v>
      </c>
      <c r="CT34">
        <f t="shared" si="45"/>
        <v>2218.62</v>
      </c>
      <c r="CU34">
        <f t="shared" si="46"/>
        <v>0</v>
      </c>
      <c r="CV34">
        <f t="shared" si="47"/>
        <v>9.33</v>
      </c>
      <c r="CW34">
        <f t="shared" si="48"/>
        <v>0.4</v>
      </c>
      <c r="CX34">
        <f t="shared" si="49"/>
        <v>0</v>
      </c>
      <c r="CY34">
        <f t="shared" si="50"/>
        <v>910.85309999999993</v>
      </c>
      <c r="CZ34">
        <f t="shared" si="51"/>
        <v>584.74519999999995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57</v>
      </c>
      <c r="DW34" t="s">
        <v>57</v>
      </c>
      <c r="DX34">
        <v>100</v>
      </c>
      <c r="EE34">
        <v>31265967</v>
      </c>
      <c r="EF34">
        <v>3</v>
      </c>
      <c r="EG34" t="s">
        <v>46</v>
      </c>
      <c r="EH34">
        <v>0</v>
      </c>
      <c r="EI34" t="s">
        <v>3</v>
      </c>
      <c r="EJ34">
        <v>2</v>
      </c>
      <c r="EK34">
        <v>108001</v>
      </c>
      <c r="EL34" t="s">
        <v>47</v>
      </c>
      <c r="EM34" t="s">
        <v>48</v>
      </c>
      <c r="EO34" t="s">
        <v>3</v>
      </c>
      <c r="EQ34">
        <v>0</v>
      </c>
      <c r="ER34">
        <v>163.93</v>
      </c>
      <c r="ES34">
        <v>29.44</v>
      </c>
      <c r="ET34">
        <v>44.74</v>
      </c>
      <c r="EU34">
        <v>5.0199999999999996</v>
      </c>
      <c r="EV34">
        <v>89.75</v>
      </c>
      <c r="EW34">
        <v>9.33</v>
      </c>
      <c r="EX34">
        <v>0.4</v>
      </c>
      <c r="EY34">
        <v>0</v>
      </c>
      <c r="FQ34">
        <v>0</v>
      </c>
      <c r="FR34">
        <f t="shared" si="52"/>
        <v>0</v>
      </c>
      <c r="FS34">
        <v>0</v>
      </c>
      <c r="FV34" t="s">
        <v>26</v>
      </c>
      <c r="FW34" t="s">
        <v>27</v>
      </c>
      <c r="FX34">
        <v>95</v>
      </c>
      <c r="FY34">
        <v>65</v>
      </c>
      <c r="GA34" t="s">
        <v>3</v>
      </c>
      <c r="GD34">
        <v>0</v>
      </c>
      <c r="GF34">
        <v>1730187345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53"/>
        <v>0</v>
      </c>
      <c r="GM34">
        <f t="shared" si="54"/>
        <v>2893.3</v>
      </c>
      <c r="GN34">
        <f t="shared" si="55"/>
        <v>0</v>
      </c>
      <c r="GO34">
        <f t="shared" si="56"/>
        <v>2893.3</v>
      </c>
      <c r="GP34">
        <f t="shared" si="57"/>
        <v>0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IK34">
        <v>0</v>
      </c>
    </row>
    <row r="35" spans="1:245" x14ac:dyDescent="0.2">
      <c r="A35">
        <v>18</v>
      </c>
      <c r="B35">
        <v>1</v>
      </c>
      <c r="C35">
        <v>24</v>
      </c>
      <c r="E35" t="s">
        <v>59</v>
      </c>
      <c r="F35" t="s">
        <v>60</v>
      </c>
      <c r="G35" t="s">
        <v>61</v>
      </c>
      <c r="H35" t="s">
        <v>62</v>
      </c>
      <c r="I35">
        <f>I34*J35</f>
        <v>4.8959999999999997E-2</v>
      </c>
      <c r="J35">
        <v>0.10199999999999999</v>
      </c>
      <c r="O35">
        <f t="shared" si="21"/>
        <v>8730.1299999999992</v>
      </c>
      <c r="P35">
        <f t="shared" si="22"/>
        <v>8730.1299999999992</v>
      </c>
      <c r="Q35">
        <f t="shared" si="23"/>
        <v>0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1"/>
        <v>0</v>
      </c>
      <c r="AA35">
        <v>35007309</v>
      </c>
      <c r="AB35">
        <f t="shared" si="32"/>
        <v>41759.15</v>
      </c>
      <c r="AC35">
        <f t="shared" si="33"/>
        <v>41759.15</v>
      </c>
      <c r="AD35">
        <f t="shared" si="34"/>
        <v>0</v>
      </c>
      <c r="AE35">
        <f t="shared" si="35"/>
        <v>0</v>
      </c>
      <c r="AF35">
        <f t="shared" si="36"/>
        <v>0</v>
      </c>
      <c r="AG35">
        <f t="shared" si="37"/>
        <v>0</v>
      </c>
      <c r="AH35">
        <f t="shared" si="38"/>
        <v>0</v>
      </c>
      <c r="AI35">
        <f t="shared" si="39"/>
        <v>0</v>
      </c>
      <c r="AJ35">
        <f t="shared" si="40"/>
        <v>0</v>
      </c>
      <c r="AK35">
        <v>41759.15</v>
      </c>
      <c r="AL35">
        <v>41759.15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81</v>
      </c>
      <c r="AU35">
        <v>52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4.2699999999999996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2</v>
      </c>
      <c r="BJ35" t="s">
        <v>63</v>
      </c>
      <c r="BM35">
        <v>108001</v>
      </c>
      <c r="BN35">
        <v>0</v>
      </c>
      <c r="BO35" t="s">
        <v>60</v>
      </c>
      <c r="BP35">
        <v>1</v>
      </c>
      <c r="BQ35">
        <v>3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95</v>
      </c>
      <c r="CA35">
        <v>65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8730.1299999999992</v>
      </c>
      <c r="CQ35">
        <f t="shared" si="42"/>
        <v>178311.5705</v>
      </c>
      <c r="CR35">
        <f t="shared" si="43"/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62</v>
      </c>
      <c r="DW35" t="s">
        <v>64</v>
      </c>
      <c r="DX35">
        <v>1</v>
      </c>
      <c r="EE35">
        <v>31265967</v>
      </c>
      <c r="EF35">
        <v>3</v>
      </c>
      <c r="EG35" t="s">
        <v>46</v>
      </c>
      <c r="EH35">
        <v>0</v>
      </c>
      <c r="EI35" t="s">
        <v>3</v>
      </c>
      <c r="EJ35">
        <v>2</v>
      </c>
      <c r="EK35">
        <v>108001</v>
      </c>
      <c r="EL35" t="s">
        <v>47</v>
      </c>
      <c r="EM35" t="s">
        <v>48</v>
      </c>
      <c r="EO35" t="s">
        <v>3</v>
      </c>
      <c r="EQ35">
        <v>0</v>
      </c>
      <c r="ER35">
        <v>41759.15</v>
      </c>
      <c r="ES35">
        <v>41759.15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8730.1299999999992</v>
      </c>
      <c r="FR35">
        <f t="shared" si="52"/>
        <v>0</v>
      </c>
      <c r="FS35">
        <v>1</v>
      </c>
      <c r="FV35" t="s">
        <v>26</v>
      </c>
      <c r="FW35" t="s">
        <v>27</v>
      </c>
      <c r="FX35">
        <v>95</v>
      </c>
      <c r="FY35">
        <v>65</v>
      </c>
      <c r="GA35" t="s">
        <v>3</v>
      </c>
      <c r="GD35">
        <v>0</v>
      </c>
      <c r="GF35">
        <v>1555712430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8730.1299999999992</v>
      </c>
      <c r="GN35">
        <f t="shared" si="55"/>
        <v>0</v>
      </c>
      <c r="GO35">
        <f t="shared" si="56"/>
        <v>8730.1299999999992</v>
      </c>
      <c r="GP35">
        <f t="shared" si="57"/>
        <v>0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IK35">
        <v>0</v>
      </c>
    </row>
    <row r="36" spans="1:245" x14ac:dyDescent="0.2">
      <c r="A36">
        <v>17</v>
      </c>
      <c r="B36">
        <v>1</v>
      </c>
      <c r="C36">
        <f>ROW(SmtRes!A37)</f>
        <v>37</v>
      </c>
      <c r="D36">
        <f>ROW(EtalonRes!A32)</f>
        <v>32</v>
      </c>
      <c r="E36" t="s">
        <v>65</v>
      </c>
      <c r="F36" t="s">
        <v>55</v>
      </c>
      <c r="G36" t="s">
        <v>56</v>
      </c>
      <c r="H36" t="s">
        <v>57</v>
      </c>
      <c r="I36">
        <f>ROUND((50/100)*1,9)</f>
        <v>0.5</v>
      </c>
      <c r="J36">
        <v>0</v>
      </c>
      <c r="O36">
        <f t="shared" si="21"/>
        <v>1455.94</v>
      </c>
      <c r="P36">
        <f t="shared" si="22"/>
        <v>138.81</v>
      </c>
      <c r="Q36">
        <f t="shared" si="23"/>
        <v>207.82</v>
      </c>
      <c r="R36">
        <f t="shared" si="24"/>
        <v>62.05</v>
      </c>
      <c r="S36">
        <f t="shared" si="25"/>
        <v>1109.31</v>
      </c>
      <c r="T36">
        <f t="shared" si="26"/>
        <v>0</v>
      </c>
      <c r="U36">
        <f t="shared" si="27"/>
        <v>4.665</v>
      </c>
      <c r="V36">
        <f t="shared" si="28"/>
        <v>0.2</v>
      </c>
      <c r="W36">
        <f t="shared" si="29"/>
        <v>0</v>
      </c>
      <c r="X36">
        <f t="shared" si="30"/>
        <v>948.8</v>
      </c>
      <c r="Y36">
        <f t="shared" si="31"/>
        <v>609.11</v>
      </c>
      <c r="AA36">
        <v>35007309</v>
      </c>
      <c r="AB36">
        <f t="shared" si="32"/>
        <v>163.93</v>
      </c>
      <c r="AC36">
        <f t="shared" si="33"/>
        <v>29.44</v>
      </c>
      <c r="AD36">
        <f t="shared" si="34"/>
        <v>44.74</v>
      </c>
      <c r="AE36">
        <f t="shared" si="35"/>
        <v>5.0199999999999996</v>
      </c>
      <c r="AF36">
        <f t="shared" si="36"/>
        <v>89.75</v>
      </c>
      <c r="AG36">
        <f t="shared" si="37"/>
        <v>0</v>
      </c>
      <c r="AH36">
        <f t="shared" si="38"/>
        <v>9.33</v>
      </c>
      <c r="AI36">
        <f t="shared" si="39"/>
        <v>0.4</v>
      </c>
      <c r="AJ36">
        <f t="shared" si="40"/>
        <v>0</v>
      </c>
      <c r="AK36">
        <v>163.93</v>
      </c>
      <c r="AL36">
        <v>29.44</v>
      </c>
      <c r="AM36">
        <v>44.74</v>
      </c>
      <c r="AN36">
        <v>5.0199999999999996</v>
      </c>
      <c r="AO36">
        <v>89.75</v>
      </c>
      <c r="AP36">
        <v>0</v>
      </c>
      <c r="AQ36">
        <v>9.33</v>
      </c>
      <c r="AR36">
        <v>0.4</v>
      </c>
      <c r="AS36">
        <v>0</v>
      </c>
      <c r="AT36">
        <v>81</v>
      </c>
      <c r="AU36">
        <v>52</v>
      </c>
      <c r="AV36">
        <v>1</v>
      </c>
      <c r="AW36">
        <v>1</v>
      </c>
      <c r="AZ36">
        <v>1</v>
      </c>
      <c r="BA36">
        <v>24.72</v>
      </c>
      <c r="BB36">
        <v>9.2899999999999991</v>
      </c>
      <c r="BC36">
        <v>9.43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2</v>
      </c>
      <c r="BJ36" t="s">
        <v>58</v>
      </c>
      <c r="BM36">
        <v>108001</v>
      </c>
      <c r="BN36">
        <v>31265683</v>
      </c>
      <c r="BO36" t="s">
        <v>55</v>
      </c>
      <c r="BP36">
        <v>1</v>
      </c>
      <c r="BQ36">
        <v>3</v>
      </c>
      <c r="BR36">
        <v>0</v>
      </c>
      <c r="BS36">
        <v>24.72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95</v>
      </c>
      <c r="CA36">
        <v>65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1455.94</v>
      </c>
      <c r="CQ36">
        <f t="shared" si="42"/>
        <v>277.61919999999998</v>
      </c>
      <c r="CR36">
        <f t="shared" si="43"/>
        <v>415.63459999999998</v>
      </c>
      <c r="CS36">
        <f t="shared" si="44"/>
        <v>124.09439999999998</v>
      </c>
      <c r="CT36">
        <f t="shared" si="45"/>
        <v>2218.62</v>
      </c>
      <c r="CU36">
        <f t="shared" si="46"/>
        <v>0</v>
      </c>
      <c r="CV36">
        <f t="shared" si="47"/>
        <v>9.33</v>
      </c>
      <c r="CW36">
        <f t="shared" si="48"/>
        <v>0.4</v>
      </c>
      <c r="CX36">
        <f t="shared" si="49"/>
        <v>0</v>
      </c>
      <c r="CY36">
        <f t="shared" si="50"/>
        <v>948.80159999999989</v>
      </c>
      <c r="CZ36">
        <f t="shared" si="51"/>
        <v>609.10719999999992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57</v>
      </c>
      <c r="DW36" t="s">
        <v>57</v>
      </c>
      <c r="DX36">
        <v>100</v>
      </c>
      <c r="EE36">
        <v>31265967</v>
      </c>
      <c r="EF36">
        <v>3</v>
      </c>
      <c r="EG36" t="s">
        <v>46</v>
      </c>
      <c r="EH36">
        <v>0</v>
      </c>
      <c r="EI36" t="s">
        <v>3</v>
      </c>
      <c r="EJ36">
        <v>2</v>
      </c>
      <c r="EK36">
        <v>108001</v>
      </c>
      <c r="EL36" t="s">
        <v>47</v>
      </c>
      <c r="EM36" t="s">
        <v>48</v>
      </c>
      <c r="EO36" t="s">
        <v>3</v>
      </c>
      <c r="EQ36">
        <v>0</v>
      </c>
      <c r="ER36">
        <v>163.93</v>
      </c>
      <c r="ES36">
        <v>29.44</v>
      </c>
      <c r="ET36">
        <v>44.74</v>
      </c>
      <c r="EU36">
        <v>5.0199999999999996</v>
      </c>
      <c r="EV36">
        <v>89.75</v>
      </c>
      <c r="EW36">
        <v>9.33</v>
      </c>
      <c r="EX36">
        <v>0.4</v>
      </c>
      <c r="EY36">
        <v>0</v>
      </c>
      <c r="FQ36">
        <v>0</v>
      </c>
      <c r="FR36">
        <f t="shared" si="52"/>
        <v>0</v>
      </c>
      <c r="FS36">
        <v>0</v>
      </c>
      <c r="FV36" t="s">
        <v>26</v>
      </c>
      <c r="FW36" t="s">
        <v>27</v>
      </c>
      <c r="FX36">
        <v>95</v>
      </c>
      <c r="FY36">
        <v>65</v>
      </c>
      <c r="GA36" t="s">
        <v>3</v>
      </c>
      <c r="GD36">
        <v>0</v>
      </c>
      <c r="GF36">
        <v>1730187345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53"/>
        <v>0</v>
      </c>
      <c r="GM36">
        <f t="shared" si="54"/>
        <v>3013.85</v>
      </c>
      <c r="GN36">
        <f t="shared" si="55"/>
        <v>0</v>
      </c>
      <c r="GO36">
        <f t="shared" si="56"/>
        <v>3013.85</v>
      </c>
      <c r="GP36">
        <f t="shared" si="57"/>
        <v>0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IK36">
        <v>0</v>
      </c>
    </row>
    <row r="37" spans="1:245" x14ac:dyDescent="0.2">
      <c r="A37">
        <v>18</v>
      </c>
      <c r="B37">
        <v>1</v>
      </c>
      <c r="C37">
        <v>36</v>
      </c>
      <c r="E37" t="s">
        <v>66</v>
      </c>
      <c r="F37" t="s">
        <v>67</v>
      </c>
      <c r="G37" t="s">
        <v>68</v>
      </c>
      <c r="H37" t="s">
        <v>62</v>
      </c>
      <c r="I37">
        <f>I36*J37</f>
        <v>5.0999999999999997E-2</v>
      </c>
      <c r="J37">
        <v>0.10199999999999999</v>
      </c>
      <c r="O37">
        <f t="shared" si="21"/>
        <v>18281.73</v>
      </c>
      <c r="P37">
        <f t="shared" si="22"/>
        <v>18281.73</v>
      </c>
      <c r="Q37">
        <f t="shared" si="23"/>
        <v>0</v>
      </c>
      <c r="R37">
        <f t="shared" si="24"/>
        <v>0</v>
      </c>
      <c r="S37">
        <f t="shared" si="25"/>
        <v>0</v>
      </c>
      <c r="T37">
        <f t="shared" si="26"/>
        <v>0</v>
      </c>
      <c r="U37">
        <f t="shared" si="27"/>
        <v>0</v>
      </c>
      <c r="V37">
        <f t="shared" si="28"/>
        <v>0</v>
      </c>
      <c r="W37">
        <f t="shared" si="29"/>
        <v>0</v>
      </c>
      <c r="X37">
        <f t="shared" si="30"/>
        <v>0</v>
      </c>
      <c r="Y37">
        <f t="shared" si="31"/>
        <v>0</v>
      </c>
      <c r="AA37">
        <v>35007309</v>
      </c>
      <c r="AB37">
        <f t="shared" si="32"/>
        <v>59944.04</v>
      </c>
      <c r="AC37">
        <f t="shared" si="33"/>
        <v>59944.04</v>
      </c>
      <c r="AD37">
        <f t="shared" si="34"/>
        <v>0</v>
      </c>
      <c r="AE37">
        <f t="shared" si="35"/>
        <v>0</v>
      </c>
      <c r="AF37">
        <f t="shared" si="36"/>
        <v>0</v>
      </c>
      <c r="AG37">
        <f t="shared" si="37"/>
        <v>0</v>
      </c>
      <c r="AH37">
        <f t="shared" si="38"/>
        <v>0</v>
      </c>
      <c r="AI37">
        <f t="shared" si="39"/>
        <v>0</v>
      </c>
      <c r="AJ37">
        <f t="shared" si="40"/>
        <v>0</v>
      </c>
      <c r="AK37">
        <v>59944.04</v>
      </c>
      <c r="AL37">
        <v>59944.04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81</v>
      </c>
      <c r="AU37">
        <v>52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5.98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2</v>
      </c>
      <c r="BJ37" t="s">
        <v>69</v>
      </c>
      <c r="BM37">
        <v>108001</v>
      </c>
      <c r="BN37">
        <v>0</v>
      </c>
      <c r="BO37" t="s">
        <v>67</v>
      </c>
      <c r="BP37">
        <v>1</v>
      </c>
      <c r="BQ37">
        <v>3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95</v>
      </c>
      <c r="CA37">
        <v>65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18281.73</v>
      </c>
      <c r="CQ37">
        <f t="shared" si="42"/>
        <v>358465.35920000001</v>
      </c>
      <c r="CR37">
        <f t="shared" si="43"/>
        <v>0</v>
      </c>
      <c r="CS37">
        <f t="shared" si="44"/>
        <v>0</v>
      </c>
      <c r="CT37">
        <f t="shared" si="45"/>
        <v>0</v>
      </c>
      <c r="CU37">
        <f t="shared" si="46"/>
        <v>0</v>
      </c>
      <c r="CV37">
        <f t="shared" si="47"/>
        <v>0</v>
      </c>
      <c r="CW37">
        <f t="shared" si="48"/>
        <v>0</v>
      </c>
      <c r="CX37">
        <f t="shared" si="49"/>
        <v>0</v>
      </c>
      <c r="CY37">
        <f t="shared" si="50"/>
        <v>0</v>
      </c>
      <c r="CZ37">
        <f t="shared" si="51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62</v>
      </c>
      <c r="DW37" t="s">
        <v>64</v>
      </c>
      <c r="DX37">
        <v>1</v>
      </c>
      <c r="EE37">
        <v>31265967</v>
      </c>
      <c r="EF37">
        <v>3</v>
      </c>
      <c r="EG37" t="s">
        <v>46</v>
      </c>
      <c r="EH37">
        <v>0</v>
      </c>
      <c r="EI37" t="s">
        <v>3</v>
      </c>
      <c r="EJ37">
        <v>2</v>
      </c>
      <c r="EK37">
        <v>108001</v>
      </c>
      <c r="EL37" t="s">
        <v>47</v>
      </c>
      <c r="EM37" t="s">
        <v>48</v>
      </c>
      <c r="EO37" t="s">
        <v>3</v>
      </c>
      <c r="EQ37">
        <v>0</v>
      </c>
      <c r="ER37">
        <v>59944.04</v>
      </c>
      <c r="ES37">
        <v>59944.04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52"/>
        <v>0</v>
      </c>
      <c r="FS37">
        <v>0</v>
      </c>
      <c r="FV37" t="s">
        <v>26</v>
      </c>
      <c r="FW37" t="s">
        <v>27</v>
      </c>
      <c r="FX37">
        <v>95</v>
      </c>
      <c r="FY37">
        <v>65</v>
      </c>
      <c r="GA37" t="s">
        <v>3</v>
      </c>
      <c r="GD37">
        <v>0</v>
      </c>
      <c r="GF37">
        <v>1416062269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18281.73</v>
      </c>
      <c r="GN37">
        <f t="shared" si="55"/>
        <v>0</v>
      </c>
      <c r="GO37">
        <f t="shared" si="56"/>
        <v>18281.73</v>
      </c>
      <c r="GP37">
        <f t="shared" si="57"/>
        <v>0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IK37">
        <v>0</v>
      </c>
    </row>
    <row r="38" spans="1:245" x14ac:dyDescent="0.2">
      <c r="A38">
        <v>17</v>
      </c>
      <c r="B38">
        <v>1</v>
      </c>
      <c r="C38">
        <f>ROW(SmtRes!A40)</f>
        <v>40</v>
      </c>
      <c r="D38">
        <f>ROW(EtalonRes!A34)</f>
        <v>34</v>
      </c>
      <c r="E38" t="s">
        <v>70</v>
      </c>
      <c r="F38" t="s">
        <v>71</v>
      </c>
      <c r="G38" t="s">
        <v>72</v>
      </c>
      <c r="H38" t="s">
        <v>73</v>
      </c>
      <c r="I38">
        <f>ROUND((12/100)*1,9)</f>
        <v>0.12</v>
      </c>
      <c r="J38">
        <v>0</v>
      </c>
      <c r="O38">
        <f t="shared" si="21"/>
        <v>440.09</v>
      </c>
      <c r="P38">
        <f t="shared" si="22"/>
        <v>8.6300000000000008</v>
      </c>
      <c r="Q38">
        <f t="shared" si="23"/>
        <v>0</v>
      </c>
      <c r="R38">
        <f t="shared" si="24"/>
        <v>0</v>
      </c>
      <c r="S38">
        <f t="shared" si="25"/>
        <v>431.46</v>
      </c>
      <c r="T38">
        <f t="shared" si="26"/>
        <v>0</v>
      </c>
      <c r="U38">
        <f t="shared" si="27"/>
        <v>1.8143999999999998</v>
      </c>
      <c r="V38">
        <f t="shared" si="28"/>
        <v>0</v>
      </c>
      <c r="W38">
        <f t="shared" si="29"/>
        <v>0</v>
      </c>
      <c r="X38">
        <f t="shared" si="30"/>
        <v>349.48</v>
      </c>
      <c r="Y38">
        <f t="shared" si="31"/>
        <v>224.36</v>
      </c>
      <c r="AA38">
        <v>35007309</v>
      </c>
      <c r="AB38">
        <f t="shared" si="32"/>
        <v>148.36000000000001</v>
      </c>
      <c r="AC38">
        <f t="shared" si="33"/>
        <v>2.91</v>
      </c>
      <c r="AD38">
        <f t="shared" si="34"/>
        <v>0</v>
      </c>
      <c r="AE38">
        <f t="shared" si="35"/>
        <v>0</v>
      </c>
      <c r="AF38">
        <f t="shared" si="36"/>
        <v>145.44999999999999</v>
      </c>
      <c r="AG38">
        <f t="shared" si="37"/>
        <v>0</v>
      </c>
      <c r="AH38">
        <f t="shared" si="38"/>
        <v>15.12</v>
      </c>
      <c r="AI38">
        <f t="shared" si="39"/>
        <v>0</v>
      </c>
      <c r="AJ38">
        <f t="shared" si="40"/>
        <v>0</v>
      </c>
      <c r="AK38">
        <v>148.36000000000001</v>
      </c>
      <c r="AL38">
        <v>2.91</v>
      </c>
      <c r="AM38">
        <v>0</v>
      </c>
      <c r="AN38">
        <v>0</v>
      </c>
      <c r="AO38">
        <v>145.44999999999999</v>
      </c>
      <c r="AP38">
        <v>0</v>
      </c>
      <c r="AQ38">
        <v>15.12</v>
      </c>
      <c r="AR38">
        <v>0</v>
      </c>
      <c r="AS38">
        <v>0</v>
      </c>
      <c r="AT38">
        <v>81</v>
      </c>
      <c r="AU38">
        <v>52</v>
      </c>
      <c r="AV38">
        <v>1</v>
      </c>
      <c r="AW38">
        <v>1</v>
      </c>
      <c r="AZ38">
        <v>1</v>
      </c>
      <c r="BA38">
        <v>24.72</v>
      </c>
      <c r="BB38">
        <v>1</v>
      </c>
      <c r="BC38">
        <v>24.71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2</v>
      </c>
      <c r="BJ38" t="s">
        <v>74</v>
      </c>
      <c r="BM38">
        <v>108001</v>
      </c>
      <c r="BN38">
        <v>31265683</v>
      </c>
      <c r="BO38" t="s">
        <v>71</v>
      </c>
      <c r="BP38">
        <v>1</v>
      </c>
      <c r="BQ38">
        <v>3</v>
      </c>
      <c r="BR38">
        <v>0</v>
      </c>
      <c r="BS38">
        <v>24.72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95</v>
      </c>
      <c r="CA38">
        <v>65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440.09</v>
      </c>
      <c r="CQ38">
        <f t="shared" si="42"/>
        <v>71.906100000000009</v>
      </c>
      <c r="CR38">
        <f t="shared" si="43"/>
        <v>0</v>
      </c>
      <c r="CS38">
        <f t="shared" si="44"/>
        <v>0</v>
      </c>
      <c r="CT38">
        <f t="shared" si="45"/>
        <v>3595.5239999999994</v>
      </c>
      <c r="CU38">
        <f t="shared" si="46"/>
        <v>0</v>
      </c>
      <c r="CV38">
        <f t="shared" si="47"/>
        <v>15.12</v>
      </c>
      <c r="CW38">
        <f t="shared" si="48"/>
        <v>0</v>
      </c>
      <c r="CX38">
        <f t="shared" si="49"/>
        <v>0</v>
      </c>
      <c r="CY38">
        <f t="shared" si="50"/>
        <v>349.48259999999993</v>
      </c>
      <c r="CZ38">
        <f t="shared" si="51"/>
        <v>224.35919999999999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73</v>
      </c>
      <c r="DW38" t="s">
        <v>73</v>
      </c>
      <c r="DX38">
        <v>1</v>
      </c>
      <c r="EE38">
        <v>31265967</v>
      </c>
      <c r="EF38">
        <v>3</v>
      </c>
      <c r="EG38" t="s">
        <v>46</v>
      </c>
      <c r="EH38">
        <v>0</v>
      </c>
      <c r="EI38" t="s">
        <v>3</v>
      </c>
      <c r="EJ38">
        <v>2</v>
      </c>
      <c r="EK38">
        <v>108001</v>
      </c>
      <c r="EL38" t="s">
        <v>47</v>
      </c>
      <c r="EM38" t="s">
        <v>48</v>
      </c>
      <c r="EO38" t="s">
        <v>3</v>
      </c>
      <c r="EQ38">
        <v>0</v>
      </c>
      <c r="ER38">
        <v>148.36000000000001</v>
      </c>
      <c r="ES38">
        <v>2.91</v>
      </c>
      <c r="ET38">
        <v>0</v>
      </c>
      <c r="EU38">
        <v>0</v>
      </c>
      <c r="EV38">
        <v>145.44999999999999</v>
      </c>
      <c r="EW38">
        <v>15.12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V38" t="s">
        <v>26</v>
      </c>
      <c r="FW38" t="s">
        <v>27</v>
      </c>
      <c r="FX38">
        <v>95</v>
      </c>
      <c r="FY38">
        <v>65</v>
      </c>
      <c r="GA38" t="s">
        <v>3</v>
      </c>
      <c r="GD38">
        <v>0</v>
      </c>
      <c r="GF38">
        <v>601222356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1013.93</v>
      </c>
      <c r="GN38">
        <f t="shared" si="55"/>
        <v>0</v>
      </c>
      <c r="GO38">
        <f t="shared" si="56"/>
        <v>1013.93</v>
      </c>
      <c r="GP38">
        <f t="shared" si="57"/>
        <v>0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IK38">
        <v>0</v>
      </c>
    </row>
    <row r="39" spans="1:245" x14ac:dyDescent="0.2">
      <c r="A39">
        <v>18</v>
      </c>
      <c r="B39">
        <v>1</v>
      </c>
      <c r="C39">
        <v>39</v>
      </c>
      <c r="E39" t="s">
        <v>75</v>
      </c>
      <c r="F39" t="s">
        <v>76</v>
      </c>
      <c r="G39" t="s">
        <v>77</v>
      </c>
      <c r="H39" t="s">
        <v>78</v>
      </c>
      <c r="I39">
        <f>I38*J39</f>
        <v>0.12</v>
      </c>
      <c r="J39">
        <v>1</v>
      </c>
      <c r="O39">
        <f t="shared" si="21"/>
        <v>1086.6400000000001</v>
      </c>
      <c r="P39">
        <f t="shared" si="22"/>
        <v>1086.6400000000001</v>
      </c>
      <c r="Q39">
        <f t="shared" si="23"/>
        <v>0</v>
      </c>
      <c r="R39">
        <f t="shared" si="24"/>
        <v>0</v>
      </c>
      <c r="S39">
        <f t="shared" si="25"/>
        <v>0</v>
      </c>
      <c r="T39">
        <f t="shared" si="26"/>
        <v>0</v>
      </c>
      <c r="U39">
        <f t="shared" si="27"/>
        <v>0</v>
      </c>
      <c r="V39">
        <f t="shared" si="28"/>
        <v>0</v>
      </c>
      <c r="W39">
        <f t="shared" si="29"/>
        <v>0</v>
      </c>
      <c r="X39">
        <f t="shared" si="30"/>
        <v>0</v>
      </c>
      <c r="Y39">
        <f t="shared" si="31"/>
        <v>0</v>
      </c>
      <c r="AA39">
        <v>35007309</v>
      </c>
      <c r="AB39">
        <f t="shared" si="32"/>
        <v>2182</v>
      </c>
      <c r="AC39">
        <f t="shared" si="33"/>
        <v>2182</v>
      </c>
      <c r="AD39">
        <f t="shared" si="34"/>
        <v>0</v>
      </c>
      <c r="AE39">
        <f t="shared" si="35"/>
        <v>0</v>
      </c>
      <c r="AF39">
        <f t="shared" si="36"/>
        <v>0</v>
      </c>
      <c r="AG39">
        <f t="shared" si="37"/>
        <v>0</v>
      </c>
      <c r="AH39">
        <f t="shared" si="38"/>
        <v>0</v>
      </c>
      <c r="AI39">
        <f t="shared" si="39"/>
        <v>0</v>
      </c>
      <c r="AJ39">
        <f t="shared" si="40"/>
        <v>0</v>
      </c>
      <c r="AK39">
        <v>2182</v>
      </c>
      <c r="AL39">
        <v>2182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81</v>
      </c>
      <c r="AU39">
        <v>52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4.1500000000000004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2</v>
      </c>
      <c r="BJ39" t="s">
        <v>79</v>
      </c>
      <c r="BM39">
        <v>108001</v>
      </c>
      <c r="BN39">
        <v>0</v>
      </c>
      <c r="BO39" t="s">
        <v>76</v>
      </c>
      <c r="BP39">
        <v>1</v>
      </c>
      <c r="BQ39">
        <v>3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95</v>
      </c>
      <c r="CA39">
        <v>65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1"/>
        <v>1086.6400000000001</v>
      </c>
      <c r="CQ39">
        <f t="shared" si="42"/>
        <v>9055.3000000000011</v>
      </c>
      <c r="CR39">
        <f t="shared" si="43"/>
        <v>0</v>
      </c>
      <c r="CS39">
        <f t="shared" si="44"/>
        <v>0</v>
      </c>
      <c r="CT39">
        <f t="shared" si="45"/>
        <v>0</v>
      </c>
      <c r="CU39">
        <f t="shared" si="46"/>
        <v>0</v>
      </c>
      <c r="CV39">
        <f t="shared" si="47"/>
        <v>0</v>
      </c>
      <c r="CW39">
        <f t="shared" si="48"/>
        <v>0</v>
      </c>
      <c r="CX39">
        <f t="shared" si="49"/>
        <v>0</v>
      </c>
      <c r="CY39">
        <f t="shared" si="50"/>
        <v>0</v>
      </c>
      <c r="CZ39">
        <f t="shared" si="51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1010</v>
      </c>
      <c r="DV39" t="s">
        <v>78</v>
      </c>
      <c r="DW39" t="s">
        <v>78</v>
      </c>
      <c r="DX39">
        <v>100</v>
      </c>
      <c r="EE39">
        <v>31265967</v>
      </c>
      <c r="EF39">
        <v>3</v>
      </c>
      <c r="EG39" t="s">
        <v>46</v>
      </c>
      <c r="EH39">
        <v>0</v>
      </c>
      <c r="EI39" t="s">
        <v>3</v>
      </c>
      <c r="EJ39">
        <v>2</v>
      </c>
      <c r="EK39">
        <v>108001</v>
      </c>
      <c r="EL39" t="s">
        <v>47</v>
      </c>
      <c r="EM39" t="s">
        <v>48</v>
      </c>
      <c r="EO39" t="s">
        <v>3</v>
      </c>
      <c r="EQ39">
        <v>0</v>
      </c>
      <c r="ER39">
        <v>2182</v>
      </c>
      <c r="ES39">
        <v>2182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52"/>
        <v>0</v>
      </c>
      <c r="FS39">
        <v>0</v>
      </c>
      <c r="FV39" t="s">
        <v>26</v>
      </c>
      <c r="FW39" t="s">
        <v>27</v>
      </c>
      <c r="FX39">
        <v>95</v>
      </c>
      <c r="FY39">
        <v>65</v>
      </c>
      <c r="GA39" t="s">
        <v>3</v>
      </c>
      <c r="GD39">
        <v>0</v>
      </c>
      <c r="GF39">
        <v>-156280516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53"/>
        <v>0</v>
      </c>
      <c r="GM39">
        <f t="shared" si="54"/>
        <v>1086.6400000000001</v>
      </c>
      <c r="GN39">
        <f t="shared" si="55"/>
        <v>0</v>
      </c>
      <c r="GO39">
        <f t="shared" si="56"/>
        <v>1086.6400000000001</v>
      </c>
      <c r="GP39">
        <f t="shared" si="57"/>
        <v>0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IK39">
        <v>0</v>
      </c>
    </row>
    <row r="40" spans="1:245" x14ac:dyDescent="0.2">
      <c r="A40">
        <v>17</v>
      </c>
      <c r="B40">
        <v>1</v>
      </c>
      <c r="C40">
        <f>ROW(SmtRes!A46)</f>
        <v>46</v>
      </c>
      <c r="D40">
        <f>ROW(EtalonRes!A39)</f>
        <v>39</v>
      </c>
      <c r="E40" t="s">
        <v>80</v>
      </c>
      <c r="F40" t="s">
        <v>81</v>
      </c>
      <c r="G40" t="s">
        <v>82</v>
      </c>
      <c r="H40" t="s">
        <v>83</v>
      </c>
      <c r="I40">
        <v>35</v>
      </c>
      <c r="J40">
        <v>0</v>
      </c>
      <c r="O40">
        <f t="shared" si="21"/>
        <v>4927.22</v>
      </c>
      <c r="P40">
        <f t="shared" si="22"/>
        <v>298.39999999999998</v>
      </c>
      <c r="Q40">
        <f t="shared" si="23"/>
        <v>0</v>
      </c>
      <c r="R40">
        <f t="shared" si="24"/>
        <v>0</v>
      </c>
      <c r="S40">
        <f t="shared" si="25"/>
        <v>4628.82</v>
      </c>
      <c r="T40">
        <f t="shared" si="26"/>
        <v>0</v>
      </c>
      <c r="U40">
        <f t="shared" si="27"/>
        <v>20.65</v>
      </c>
      <c r="V40">
        <f t="shared" si="28"/>
        <v>0</v>
      </c>
      <c r="W40">
        <f t="shared" si="29"/>
        <v>0</v>
      </c>
      <c r="X40">
        <f t="shared" si="30"/>
        <v>3749.34</v>
      </c>
      <c r="Y40">
        <f t="shared" si="31"/>
        <v>2406.9899999999998</v>
      </c>
      <c r="AA40">
        <v>35007309</v>
      </c>
      <c r="AB40">
        <f t="shared" si="32"/>
        <v>6.29</v>
      </c>
      <c r="AC40">
        <f t="shared" si="33"/>
        <v>0.94</v>
      </c>
      <c r="AD40">
        <f t="shared" si="34"/>
        <v>0</v>
      </c>
      <c r="AE40">
        <f t="shared" si="35"/>
        <v>0</v>
      </c>
      <c r="AF40">
        <f t="shared" si="36"/>
        <v>5.35</v>
      </c>
      <c r="AG40">
        <f t="shared" si="37"/>
        <v>0</v>
      </c>
      <c r="AH40">
        <f t="shared" si="38"/>
        <v>0.59</v>
      </c>
      <c r="AI40">
        <f t="shared" si="39"/>
        <v>0</v>
      </c>
      <c r="AJ40">
        <f t="shared" si="40"/>
        <v>0</v>
      </c>
      <c r="AK40">
        <v>6.29</v>
      </c>
      <c r="AL40">
        <v>0.94</v>
      </c>
      <c r="AM40">
        <v>0</v>
      </c>
      <c r="AN40">
        <v>0</v>
      </c>
      <c r="AO40">
        <v>5.35</v>
      </c>
      <c r="AP40">
        <v>0</v>
      </c>
      <c r="AQ40">
        <v>0.59</v>
      </c>
      <c r="AR40">
        <v>0</v>
      </c>
      <c r="AS40">
        <v>0</v>
      </c>
      <c r="AT40">
        <v>81</v>
      </c>
      <c r="AU40">
        <v>52</v>
      </c>
      <c r="AV40">
        <v>1</v>
      </c>
      <c r="AW40">
        <v>1</v>
      </c>
      <c r="AZ40">
        <v>1</v>
      </c>
      <c r="BA40">
        <v>24.72</v>
      </c>
      <c r="BB40">
        <v>1</v>
      </c>
      <c r="BC40">
        <v>9.07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2</v>
      </c>
      <c r="BJ40" t="s">
        <v>84</v>
      </c>
      <c r="BM40">
        <v>108001</v>
      </c>
      <c r="BN40">
        <v>31265683</v>
      </c>
      <c r="BO40" t="s">
        <v>81</v>
      </c>
      <c r="BP40">
        <v>1</v>
      </c>
      <c r="BQ40">
        <v>3</v>
      </c>
      <c r="BR40">
        <v>0</v>
      </c>
      <c r="BS40">
        <v>24.72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95</v>
      </c>
      <c r="CA40">
        <v>65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1"/>
        <v>4927.2199999999993</v>
      </c>
      <c r="CQ40">
        <f t="shared" si="42"/>
        <v>8.5258000000000003</v>
      </c>
      <c r="CR40">
        <f t="shared" si="43"/>
        <v>0</v>
      </c>
      <c r="CS40">
        <f t="shared" si="44"/>
        <v>0</v>
      </c>
      <c r="CT40">
        <f t="shared" si="45"/>
        <v>132.25199999999998</v>
      </c>
      <c r="CU40">
        <f t="shared" si="46"/>
        <v>0</v>
      </c>
      <c r="CV40">
        <f t="shared" si="47"/>
        <v>0.59</v>
      </c>
      <c r="CW40">
        <f t="shared" si="48"/>
        <v>0</v>
      </c>
      <c r="CX40">
        <f t="shared" si="49"/>
        <v>0</v>
      </c>
      <c r="CY40">
        <f t="shared" si="50"/>
        <v>3749.3442</v>
      </c>
      <c r="CZ40">
        <f t="shared" si="51"/>
        <v>2406.9863999999998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1013</v>
      </c>
      <c r="DV40" t="s">
        <v>83</v>
      </c>
      <c r="DW40" t="s">
        <v>83</v>
      </c>
      <c r="DX40">
        <v>1</v>
      </c>
      <c r="EE40">
        <v>31265967</v>
      </c>
      <c r="EF40">
        <v>3</v>
      </c>
      <c r="EG40" t="s">
        <v>46</v>
      </c>
      <c r="EH40">
        <v>0</v>
      </c>
      <c r="EI40" t="s">
        <v>3</v>
      </c>
      <c r="EJ40">
        <v>2</v>
      </c>
      <c r="EK40">
        <v>108001</v>
      </c>
      <c r="EL40" t="s">
        <v>47</v>
      </c>
      <c r="EM40" t="s">
        <v>48</v>
      </c>
      <c r="EO40" t="s">
        <v>3</v>
      </c>
      <c r="EQ40">
        <v>0</v>
      </c>
      <c r="ER40">
        <v>6.29</v>
      </c>
      <c r="ES40">
        <v>0.94</v>
      </c>
      <c r="ET40">
        <v>0</v>
      </c>
      <c r="EU40">
        <v>0</v>
      </c>
      <c r="EV40">
        <v>5.35</v>
      </c>
      <c r="EW40">
        <v>0.59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V40" t="s">
        <v>26</v>
      </c>
      <c r="FW40" t="s">
        <v>27</v>
      </c>
      <c r="FX40">
        <v>95</v>
      </c>
      <c r="FY40">
        <v>65</v>
      </c>
      <c r="GA40" t="s">
        <v>3</v>
      </c>
      <c r="GD40">
        <v>0</v>
      </c>
      <c r="GF40">
        <v>-1075089509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11083.55</v>
      </c>
      <c r="GN40">
        <f t="shared" si="55"/>
        <v>0</v>
      </c>
      <c r="GO40">
        <f t="shared" si="56"/>
        <v>11083.55</v>
      </c>
      <c r="GP40">
        <f t="shared" si="57"/>
        <v>0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IK40">
        <v>0</v>
      </c>
    </row>
    <row r="41" spans="1:245" x14ac:dyDescent="0.2">
      <c r="A41">
        <v>18</v>
      </c>
      <c r="B41">
        <v>1</v>
      </c>
      <c r="C41">
        <v>45</v>
      </c>
      <c r="E41" t="s">
        <v>85</v>
      </c>
      <c r="F41" t="s">
        <v>86</v>
      </c>
      <c r="G41" t="s">
        <v>87</v>
      </c>
      <c r="H41" t="s">
        <v>52</v>
      </c>
      <c r="I41">
        <f>I40*J41</f>
        <v>35</v>
      </c>
      <c r="J41">
        <v>1</v>
      </c>
      <c r="O41">
        <f t="shared" si="21"/>
        <v>3630.9</v>
      </c>
      <c r="P41">
        <f t="shared" si="22"/>
        <v>3630.9</v>
      </c>
      <c r="Q41">
        <f t="shared" si="23"/>
        <v>0</v>
      </c>
      <c r="R41">
        <f t="shared" si="24"/>
        <v>0</v>
      </c>
      <c r="S41">
        <f t="shared" si="25"/>
        <v>0</v>
      </c>
      <c r="T41">
        <f t="shared" si="26"/>
        <v>0</v>
      </c>
      <c r="U41">
        <f t="shared" si="27"/>
        <v>0</v>
      </c>
      <c r="V41">
        <f t="shared" si="28"/>
        <v>0</v>
      </c>
      <c r="W41">
        <f t="shared" si="29"/>
        <v>0</v>
      </c>
      <c r="X41">
        <f t="shared" si="30"/>
        <v>0</v>
      </c>
      <c r="Y41">
        <f t="shared" si="31"/>
        <v>0</v>
      </c>
      <c r="AA41">
        <v>35007309</v>
      </c>
      <c r="AB41">
        <f t="shared" si="32"/>
        <v>38</v>
      </c>
      <c r="AC41">
        <f t="shared" si="33"/>
        <v>38</v>
      </c>
      <c r="AD41">
        <f t="shared" si="34"/>
        <v>0</v>
      </c>
      <c r="AE41">
        <f t="shared" si="35"/>
        <v>0</v>
      </c>
      <c r="AF41">
        <f t="shared" si="36"/>
        <v>0</v>
      </c>
      <c r="AG41">
        <f t="shared" si="37"/>
        <v>0</v>
      </c>
      <c r="AH41">
        <f t="shared" si="38"/>
        <v>0</v>
      </c>
      <c r="AI41">
        <f t="shared" si="39"/>
        <v>0</v>
      </c>
      <c r="AJ41">
        <f t="shared" si="40"/>
        <v>0</v>
      </c>
      <c r="AK41">
        <v>38</v>
      </c>
      <c r="AL41">
        <v>38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81</v>
      </c>
      <c r="AU41">
        <v>52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2.73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2</v>
      </c>
      <c r="BJ41" t="s">
        <v>88</v>
      </c>
      <c r="BM41">
        <v>108001</v>
      </c>
      <c r="BN41">
        <v>0</v>
      </c>
      <c r="BO41" t="s">
        <v>86</v>
      </c>
      <c r="BP41">
        <v>1</v>
      </c>
      <c r="BQ41">
        <v>3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95</v>
      </c>
      <c r="CA41">
        <v>65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1"/>
        <v>3630.9</v>
      </c>
      <c r="CQ41">
        <f t="shared" si="42"/>
        <v>103.74</v>
      </c>
      <c r="CR41">
        <f t="shared" si="43"/>
        <v>0</v>
      </c>
      <c r="CS41">
        <f t="shared" si="44"/>
        <v>0</v>
      </c>
      <c r="CT41">
        <f t="shared" si="45"/>
        <v>0</v>
      </c>
      <c r="CU41">
        <f t="shared" si="46"/>
        <v>0</v>
      </c>
      <c r="CV41">
        <f t="shared" si="47"/>
        <v>0</v>
      </c>
      <c r="CW41">
        <f t="shared" si="48"/>
        <v>0</v>
      </c>
      <c r="CX41">
        <f t="shared" si="49"/>
        <v>0</v>
      </c>
      <c r="CY41">
        <f t="shared" si="50"/>
        <v>0</v>
      </c>
      <c r="CZ41">
        <f t="shared" si="51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1010</v>
      </c>
      <c r="DV41" t="s">
        <v>52</v>
      </c>
      <c r="DW41" t="s">
        <v>52</v>
      </c>
      <c r="DX41">
        <v>1</v>
      </c>
      <c r="EE41">
        <v>31265967</v>
      </c>
      <c r="EF41">
        <v>3</v>
      </c>
      <c r="EG41" t="s">
        <v>46</v>
      </c>
      <c r="EH41">
        <v>0</v>
      </c>
      <c r="EI41" t="s">
        <v>3</v>
      </c>
      <c r="EJ41">
        <v>2</v>
      </c>
      <c r="EK41">
        <v>108001</v>
      </c>
      <c r="EL41" t="s">
        <v>47</v>
      </c>
      <c r="EM41" t="s">
        <v>48</v>
      </c>
      <c r="EO41" t="s">
        <v>3</v>
      </c>
      <c r="EQ41">
        <v>0</v>
      </c>
      <c r="ER41">
        <v>38</v>
      </c>
      <c r="ES41">
        <v>38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52"/>
        <v>0</v>
      </c>
      <c r="FS41">
        <v>0</v>
      </c>
      <c r="FV41" t="s">
        <v>26</v>
      </c>
      <c r="FW41" t="s">
        <v>27</v>
      </c>
      <c r="FX41">
        <v>95</v>
      </c>
      <c r="FY41">
        <v>65</v>
      </c>
      <c r="GA41" t="s">
        <v>3</v>
      </c>
      <c r="GD41">
        <v>0</v>
      </c>
      <c r="GF41">
        <v>780116230</v>
      </c>
      <c r="GG41">
        <v>2</v>
      </c>
      <c r="GH41">
        <v>1</v>
      </c>
      <c r="GI41">
        <v>2</v>
      </c>
      <c r="GJ41">
        <v>0</v>
      </c>
      <c r="GK41">
        <f>ROUND(R41*(R12)/100,2)</f>
        <v>0</v>
      </c>
      <c r="GL41">
        <f t="shared" si="53"/>
        <v>0</v>
      </c>
      <c r="GM41">
        <f t="shared" si="54"/>
        <v>3630.9</v>
      </c>
      <c r="GN41">
        <f t="shared" si="55"/>
        <v>0</v>
      </c>
      <c r="GO41">
        <f t="shared" si="56"/>
        <v>3630.9</v>
      </c>
      <c r="GP41">
        <f t="shared" si="57"/>
        <v>0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IK41">
        <v>0</v>
      </c>
    </row>
    <row r="42" spans="1:245" x14ac:dyDescent="0.2">
      <c r="A42">
        <v>17</v>
      </c>
      <c r="B42">
        <v>1</v>
      </c>
      <c r="C42">
        <f>ROW(SmtRes!A49)</f>
        <v>49</v>
      </c>
      <c r="D42">
        <f>ROW(EtalonRes!A41)</f>
        <v>41</v>
      </c>
      <c r="E42" t="s">
        <v>89</v>
      </c>
      <c r="F42" t="s">
        <v>90</v>
      </c>
      <c r="G42" t="s">
        <v>91</v>
      </c>
      <c r="H42" t="s">
        <v>73</v>
      </c>
      <c r="I42">
        <f>ROUND((15/100)*1,9)</f>
        <v>0.15</v>
      </c>
      <c r="J42">
        <v>0</v>
      </c>
      <c r="O42">
        <f t="shared" si="21"/>
        <v>1106.0899999999999</v>
      </c>
      <c r="P42">
        <f t="shared" si="22"/>
        <v>21.69</v>
      </c>
      <c r="Q42">
        <f t="shared" si="23"/>
        <v>0</v>
      </c>
      <c r="R42">
        <f t="shared" si="24"/>
        <v>0</v>
      </c>
      <c r="S42">
        <f t="shared" si="25"/>
        <v>1084.4000000000001</v>
      </c>
      <c r="T42">
        <f t="shared" si="26"/>
        <v>0</v>
      </c>
      <c r="U42">
        <f t="shared" si="27"/>
        <v>4.5599999999999996</v>
      </c>
      <c r="V42">
        <f t="shared" si="28"/>
        <v>0</v>
      </c>
      <c r="W42">
        <f t="shared" si="29"/>
        <v>0</v>
      </c>
      <c r="X42">
        <f t="shared" si="30"/>
        <v>878.36</v>
      </c>
      <c r="Y42">
        <f t="shared" si="31"/>
        <v>563.89</v>
      </c>
      <c r="AA42">
        <v>35007309</v>
      </c>
      <c r="AB42">
        <f t="shared" si="32"/>
        <v>298.3</v>
      </c>
      <c r="AC42">
        <f t="shared" si="33"/>
        <v>5.85</v>
      </c>
      <c r="AD42">
        <f t="shared" si="34"/>
        <v>0</v>
      </c>
      <c r="AE42">
        <f t="shared" si="35"/>
        <v>0</v>
      </c>
      <c r="AF42">
        <f t="shared" si="36"/>
        <v>292.45</v>
      </c>
      <c r="AG42">
        <f t="shared" si="37"/>
        <v>0</v>
      </c>
      <c r="AH42">
        <f t="shared" si="38"/>
        <v>30.4</v>
      </c>
      <c r="AI42">
        <f t="shared" si="39"/>
        <v>0</v>
      </c>
      <c r="AJ42">
        <f t="shared" si="40"/>
        <v>0</v>
      </c>
      <c r="AK42">
        <v>298.3</v>
      </c>
      <c r="AL42">
        <v>5.85</v>
      </c>
      <c r="AM42">
        <v>0</v>
      </c>
      <c r="AN42">
        <v>0</v>
      </c>
      <c r="AO42">
        <v>292.45</v>
      </c>
      <c r="AP42">
        <v>0</v>
      </c>
      <c r="AQ42">
        <v>30.4</v>
      </c>
      <c r="AR42">
        <v>0</v>
      </c>
      <c r="AS42">
        <v>0</v>
      </c>
      <c r="AT42">
        <v>81</v>
      </c>
      <c r="AU42">
        <v>52</v>
      </c>
      <c r="AV42">
        <v>1</v>
      </c>
      <c r="AW42">
        <v>1</v>
      </c>
      <c r="AZ42">
        <v>1</v>
      </c>
      <c r="BA42">
        <v>24.72</v>
      </c>
      <c r="BB42">
        <v>1</v>
      </c>
      <c r="BC42">
        <v>24.72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2</v>
      </c>
      <c r="BJ42" t="s">
        <v>92</v>
      </c>
      <c r="BM42">
        <v>108001</v>
      </c>
      <c r="BN42">
        <v>31265683</v>
      </c>
      <c r="BO42" t="s">
        <v>90</v>
      </c>
      <c r="BP42">
        <v>1</v>
      </c>
      <c r="BQ42">
        <v>3</v>
      </c>
      <c r="BR42">
        <v>0</v>
      </c>
      <c r="BS42">
        <v>24.72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95</v>
      </c>
      <c r="CA42">
        <v>65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1"/>
        <v>1106.0900000000001</v>
      </c>
      <c r="CQ42">
        <f t="shared" si="42"/>
        <v>144.61199999999999</v>
      </c>
      <c r="CR42">
        <f t="shared" si="43"/>
        <v>0</v>
      </c>
      <c r="CS42">
        <f t="shared" si="44"/>
        <v>0</v>
      </c>
      <c r="CT42">
        <f t="shared" si="45"/>
        <v>7229.3639999999996</v>
      </c>
      <c r="CU42">
        <f t="shared" si="46"/>
        <v>0</v>
      </c>
      <c r="CV42">
        <f t="shared" si="47"/>
        <v>30.4</v>
      </c>
      <c r="CW42">
        <f t="shared" si="48"/>
        <v>0</v>
      </c>
      <c r="CX42">
        <f t="shared" si="49"/>
        <v>0</v>
      </c>
      <c r="CY42">
        <f t="shared" si="50"/>
        <v>878.36400000000003</v>
      </c>
      <c r="CZ42">
        <f t="shared" si="51"/>
        <v>563.88800000000003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1013</v>
      </c>
      <c r="DV42" t="s">
        <v>73</v>
      </c>
      <c r="DW42" t="s">
        <v>73</v>
      </c>
      <c r="DX42">
        <v>1</v>
      </c>
      <c r="EE42">
        <v>31265967</v>
      </c>
      <c r="EF42">
        <v>3</v>
      </c>
      <c r="EG42" t="s">
        <v>46</v>
      </c>
      <c r="EH42">
        <v>0</v>
      </c>
      <c r="EI42" t="s">
        <v>3</v>
      </c>
      <c r="EJ42">
        <v>2</v>
      </c>
      <c r="EK42">
        <v>108001</v>
      </c>
      <c r="EL42" t="s">
        <v>47</v>
      </c>
      <c r="EM42" t="s">
        <v>48</v>
      </c>
      <c r="EO42" t="s">
        <v>3</v>
      </c>
      <c r="EQ42">
        <v>0</v>
      </c>
      <c r="ER42">
        <v>298.3</v>
      </c>
      <c r="ES42">
        <v>5.85</v>
      </c>
      <c r="ET42">
        <v>0</v>
      </c>
      <c r="EU42">
        <v>0</v>
      </c>
      <c r="EV42">
        <v>292.45</v>
      </c>
      <c r="EW42">
        <v>30.4</v>
      </c>
      <c r="EX42">
        <v>0</v>
      </c>
      <c r="EY42">
        <v>0</v>
      </c>
      <c r="FQ42">
        <v>0</v>
      </c>
      <c r="FR42">
        <f t="shared" si="52"/>
        <v>0</v>
      </c>
      <c r="FS42">
        <v>0</v>
      </c>
      <c r="FV42" t="s">
        <v>26</v>
      </c>
      <c r="FW42" t="s">
        <v>27</v>
      </c>
      <c r="FX42">
        <v>95</v>
      </c>
      <c r="FY42">
        <v>65</v>
      </c>
      <c r="GA42" t="s">
        <v>3</v>
      </c>
      <c r="GD42">
        <v>0</v>
      </c>
      <c r="GF42">
        <v>-1551002343</v>
      </c>
      <c r="GG42">
        <v>2</v>
      </c>
      <c r="GH42">
        <v>1</v>
      </c>
      <c r="GI42">
        <v>2</v>
      </c>
      <c r="GJ42">
        <v>0</v>
      </c>
      <c r="GK42">
        <f>ROUND(R42*(R12)/100,2)</f>
        <v>0</v>
      </c>
      <c r="GL42">
        <f t="shared" si="53"/>
        <v>0</v>
      </c>
      <c r="GM42">
        <f t="shared" si="54"/>
        <v>2548.34</v>
      </c>
      <c r="GN42">
        <f t="shared" si="55"/>
        <v>0</v>
      </c>
      <c r="GO42">
        <f t="shared" si="56"/>
        <v>2548.34</v>
      </c>
      <c r="GP42">
        <f t="shared" si="57"/>
        <v>0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IK42">
        <v>0</v>
      </c>
    </row>
    <row r="43" spans="1:245" x14ac:dyDescent="0.2">
      <c r="A43">
        <v>18</v>
      </c>
      <c r="B43">
        <v>1</v>
      </c>
      <c r="C43">
        <v>48</v>
      </c>
      <c r="E43" t="s">
        <v>93</v>
      </c>
      <c r="F43" t="s">
        <v>94</v>
      </c>
      <c r="G43" t="s">
        <v>95</v>
      </c>
      <c r="H43" t="s">
        <v>78</v>
      </c>
      <c r="I43">
        <f>I42*J43</f>
        <v>0.15</v>
      </c>
      <c r="J43">
        <v>1</v>
      </c>
      <c r="O43">
        <f t="shared" si="21"/>
        <v>3744.4</v>
      </c>
      <c r="P43">
        <f t="shared" si="22"/>
        <v>3744.4</v>
      </c>
      <c r="Q43">
        <f t="shared" si="23"/>
        <v>0</v>
      </c>
      <c r="R43">
        <f t="shared" si="24"/>
        <v>0</v>
      </c>
      <c r="S43">
        <f t="shared" si="25"/>
        <v>0</v>
      </c>
      <c r="T43">
        <f t="shared" si="26"/>
        <v>0</v>
      </c>
      <c r="U43">
        <f t="shared" si="27"/>
        <v>0</v>
      </c>
      <c r="V43">
        <f t="shared" si="28"/>
        <v>0</v>
      </c>
      <c r="W43">
        <f t="shared" si="29"/>
        <v>0</v>
      </c>
      <c r="X43">
        <f t="shared" si="30"/>
        <v>0</v>
      </c>
      <c r="Y43">
        <f t="shared" si="31"/>
        <v>0</v>
      </c>
      <c r="AA43">
        <v>35007309</v>
      </c>
      <c r="AB43">
        <f t="shared" si="32"/>
        <v>6639</v>
      </c>
      <c r="AC43">
        <f t="shared" si="33"/>
        <v>6639</v>
      </c>
      <c r="AD43">
        <f t="shared" si="34"/>
        <v>0</v>
      </c>
      <c r="AE43">
        <f t="shared" si="35"/>
        <v>0</v>
      </c>
      <c r="AF43">
        <f t="shared" si="36"/>
        <v>0</v>
      </c>
      <c r="AG43">
        <f t="shared" si="37"/>
        <v>0</v>
      </c>
      <c r="AH43">
        <f t="shared" si="38"/>
        <v>0</v>
      </c>
      <c r="AI43">
        <f t="shared" si="39"/>
        <v>0</v>
      </c>
      <c r="AJ43">
        <f t="shared" si="40"/>
        <v>0</v>
      </c>
      <c r="AK43">
        <v>6639</v>
      </c>
      <c r="AL43">
        <v>6639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81</v>
      </c>
      <c r="AU43">
        <v>52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3.76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2</v>
      </c>
      <c r="BJ43" t="s">
        <v>96</v>
      </c>
      <c r="BM43">
        <v>108001</v>
      </c>
      <c r="BN43">
        <v>0</v>
      </c>
      <c r="BO43" t="s">
        <v>94</v>
      </c>
      <c r="BP43">
        <v>1</v>
      </c>
      <c r="BQ43">
        <v>3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95</v>
      </c>
      <c r="CA43">
        <v>65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1"/>
        <v>3744.4</v>
      </c>
      <c r="CQ43">
        <f t="shared" si="42"/>
        <v>24962.639999999999</v>
      </c>
      <c r="CR43">
        <f t="shared" si="43"/>
        <v>0</v>
      </c>
      <c r="CS43">
        <f t="shared" si="44"/>
        <v>0</v>
      </c>
      <c r="CT43">
        <f t="shared" si="45"/>
        <v>0</v>
      </c>
      <c r="CU43">
        <f t="shared" si="46"/>
        <v>0</v>
      </c>
      <c r="CV43">
        <f t="shared" si="47"/>
        <v>0</v>
      </c>
      <c r="CW43">
        <f t="shared" si="48"/>
        <v>0</v>
      </c>
      <c r="CX43">
        <f t="shared" si="49"/>
        <v>0</v>
      </c>
      <c r="CY43">
        <f t="shared" si="50"/>
        <v>0</v>
      </c>
      <c r="CZ43">
        <f t="shared" si="51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1010</v>
      </c>
      <c r="DV43" t="s">
        <v>78</v>
      </c>
      <c r="DW43" t="s">
        <v>78</v>
      </c>
      <c r="DX43">
        <v>100</v>
      </c>
      <c r="EE43">
        <v>31265967</v>
      </c>
      <c r="EF43">
        <v>3</v>
      </c>
      <c r="EG43" t="s">
        <v>46</v>
      </c>
      <c r="EH43">
        <v>0</v>
      </c>
      <c r="EI43" t="s">
        <v>3</v>
      </c>
      <c r="EJ43">
        <v>2</v>
      </c>
      <c r="EK43">
        <v>108001</v>
      </c>
      <c r="EL43" t="s">
        <v>47</v>
      </c>
      <c r="EM43" t="s">
        <v>48</v>
      </c>
      <c r="EO43" t="s">
        <v>3</v>
      </c>
      <c r="EQ43">
        <v>0</v>
      </c>
      <c r="ER43">
        <v>6639</v>
      </c>
      <c r="ES43">
        <v>6639</v>
      </c>
      <c r="ET43">
        <v>0</v>
      </c>
      <c r="EU43">
        <v>0</v>
      </c>
      <c r="EV43">
        <v>0</v>
      </c>
      <c r="EW43">
        <v>0</v>
      </c>
      <c r="EX43">
        <v>0</v>
      </c>
      <c r="FQ43">
        <v>0</v>
      </c>
      <c r="FR43">
        <f t="shared" si="52"/>
        <v>0</v>
      </c>
      <c r="FS43">
        <v>0</v>
      </c>
      <c r="FV43" t="s">
        <v>26</v>
      </c>
      <c r="FW43" t="s">
        <v>27</v>
      </c>
      <c r="FX43">
        <v>95</v>
      </c>
      <c r="FY43">
        <v>65</v>
      </c>
      <c r="GA43" t="s">
        <v>3</v>
      </c>
      <c r="GD43">
        <v>0</v>
      </c>
      <c r="GF43">
        <v>-1055249616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53"/>
        <v>0</v>
      </c>
      <c r="GM43">
        <f t="shared" si="54"/>
        <v>3744.4</v>
      </c>
      <c r="GN43">
        <f t="shared" si="55"/>
        <v>0</v>
      </c>
      <c r="GO43">
        <f t="shared" si="56"/>
        <v>3744.4</v>
      </c>
      <c r="GP43">
        <f t="shared" si="57"/>
        <v>0</v>
      </c>
      <c r="GR43">
        <v>0</v>
      </c>
      <c r="GS43">
        <v>3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59"/>
        <v>0</v>
      </c>
      <c r="HA43">
        <v>0</v>
      </c>
      <c r="HB43">
        <v>0</v>
      </c>
      <c r="IK43">
        <v>0</v>
      </c>
    </row>
    <row r="44" spans="1:245" x14ac:dyDescent="0.2">
      <c r="A44">
        <v>17</v>
      </c>
      <c r="B44">
        <v>1</v>
      </c>
      <c r="C44">
        <f>ROW(SmtRes!A52)</f>
        <v>52</v>
      </c>
      <c r="D44">
        <f>ROW(EtalonRes!A43)</f>
        <v>43</v>
      </c>
      <c r="E44" t="s">
        <v>97</v>
      </c>
      <c r="F44" t="s">
        <v>98</v>
      </c>
      <c r="G44" t="s">
        <v>99</v>
      </c>
      <c r="H44" t="s">
        <v>73</v>
      </c>
      <c r="I44">
        <f>ROUND((8/100)*1,9)</f>
        <v>0.08</v>
      </c>
      <c r="J44">
        <v>0</v>
      </c>
      <c r="O44">
        <f t="shared" si="21"/>
        <v>900.39</v>
      </c>
      <c r="P44">
        <f t="shared" si="22"/>
        <v>17.649999999999999</v>
      </c>
      <c r="Q44">
        <f t="shared" si="23"/>
        <v>0</v>
      </c>
      <c r="R44">
        <f t="shared" si="24"/>
        <v>0</v>
      </c>
      <c r="S44">
        <f t="shared" si="25"/>
        <v>882.74</v>
      </c>
      <c r="T44">
        <f t="shared" si="26"/>
        <v>0</v>
      </c>
      <c r="U44">
        <f t="shared" si="27"/>
        <v>3.7119999999999997</v>
      </c>
      <c r="V44">
        <f t="shared" si="28"/>
        <v>0</v>
      </c>
      <c r="W44">
        <f t="shared" si="29"/>
        <v>0</v>
      </c>
      <c r="X44">
        <f t="shared" si="30"/>
        <v>715.02</v>
      </c>
      <c r="Y44">
        <f t="shared" si="31"/>
        <v>459.02</v>
      </c>
      <c r="AA44">
        <v>35007309</v>
      </c>
      <c r="AB44">
        <f t="shared" si="32"/>
        <v>455.3</v>
      </c>
      <c r="AC44">
        <f t="shared" si="33"/>
        <v>8.93</v>
      </c>
      <c r="AD44">
        <f t="shared" si="34"/>
        <v>0</v>
      </c>
      <c r="AE44">
        <f t="shared" si="35"/>
        <v>0</v>
      </c>
      <c r="AF44">
        <f t="shared" si="36"/>
        <v>446.37</v>
      </c>
      <c r="AG44">
        <f t="shared" si="37"/>
        <v>0</v>
      </c>
      <c r="AH44">
        <f t="shared" si="38"/>
        <v>46.4</v>
      </c>
      <c r="AI44">
        <f t="shared" si="39"/>
        <v>0</v>
      </c>
      <c r="AJ44">
        <f t="shared" si="40"/>
        <v>0</v>
      </c>
      <c r="AK44">
        <v>455.3</v>
      </c>
      <c r="AL44">
        <v>8.93</v>
      </c>
      <c r="AM44">
        <v>0</v>
      </c>
      <c r="AN44">
        <v>0</v>
      </c>
      <c r="AO44">
        <v>446.37</v>
      </c>
      <c r="AP44">
        <v>0</v>
      </c>
      <c r="AQ44">
        <v>46.4</v>
      </c>
      <c r="AR44">
        <v>0</v>
      </c>
      <c r="AS44">
        <v>0</v>
      </c>
      <c r="AT44">
        <v>81</v>
      </c>
      <c r="AU44">
        <v>52</v>
      </c>
      <c r="AV44">
        <v>1</v>
      </c>
      <c r="AW44">
        <v>1</v>
      </c>
      <c r="AZ44">
        <v>1</v>
      </c>
      <c r="BA44">
        <v>24.72</v>
      </c>
      <c r="BB44">
        <v>1</v>
      </c>
      <c r="BC44">
        <v>24.71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2</v>
      </c>
      <c r="BJ44" t="s">
        <v>100</v>
      </c>
      <c r="BM44">
        <v>108001</v>
      </c>
      <c r="BN44">
        <v>31265683</v>
      </c>
      <c r="BO44" t="s">
        <v>98</v>
      </c>
      <c r="BP44">
        <v>1</v>
      </c>
      <c r="BQ44">
        <v>3</v>
      </c>
      <c r="BR44">
        <v>0</v>
      </c>
      <c r="BS44">
        <v>24.72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95</v>
      </c>
      <c r="CA44">
        <v>65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1"/>
        <v>900.39</v>
      </c>
      <c r="CQ44">
        <f t="shared" si="42"/>
        <v>220.66030000000001</v>
      </c>
      <c r="CR44">
        <f t="shared" si="43"/>
        <v>0</v>
      </c>
      <c r="CS44">
        <f t="shared" si="44"/>
        <v>0</v>
      </c>
      <c r="CT44">
        <f t="shared" si="45"/>
        <v>11034.2664</v>
      </c>
      <c r="CU44">
        <f t="shared" si="46"/>
        <v>0</v>
      </c>
      <c r="CV44">
        <f t="shared" si="47"/>
        <v>46.4</v>
      </c>
      <c r="CW44">
        <f t="shared" si="48"/>
        <v>0</v>
      </c>
      <c r="CX44">
        <f t="shared" si="49"/>
        <v>0</v>
      </c>
      <c r="CY44">
        <f t="shared" si="50"/>
        <v>715.01940000000002</v>
      </c>
      <c r="CZ44">
        <f t="shared" si="51"/>
        <v>459.02480000000003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1013</v>
      </c>
      <c r="DV44" t="s">
        <v>73</v>
      </c>
      <c r="DW44" t="s">
        <v>73</v>
      </c>
      <c r="DX44">
        <v>1</v>
      </c>
      <c r="EE44">
        <v>31265967</v>
      </c>
      <c r="EF44">
        <v>3</v>
      </c>
      <c r="EG44" t="s">
        <v>46</v>
      </c>
      <c r="EH44">
        <v>0</v>
      </c>
      <c r="EI44" t="s">
        <v>3</v>
      </c>
      <c r="EJ44">
        <v>2</v>
      </c>
      <c r="EK44">
        <v>108001</v>
      </c>
      <c r="EL44" t="s">
        <v>47</v>
      </c>
      <c r="EM44" t="s">
        <v>48</v>
      </c>
      <c r="EO44" t="s">
        <v>3</v>
      </c>
      <c r="EQ44">
        <v>0</v>
      </c>
      <c r="ER44">
        <v>455.3</v>
      </c>
      <c r="ES44">
        <v>8.93</v>
      </c>
      <c r="ET44">
        <v>0</v>
      </c>
      <c r="EU44">
        <v>0</v>
      </c>
      <c r="EV44">
        <v>446.37</v>
      </c>
      <c r="EW44">
        <v>46.4</v>
      </c>
      <c r="EX44">
        <v>0</v>
      </c>
      <c r="EY44">
        <v>0</v>
      </c>
      <c r="FQ44">
        <v>0</v>
      </c>
      <c r="FR44">
        <f t="shared" si="52"/>
        <v>0</v>
      </c>
      <c r="FS44">
        <v>0</v>
      </c>
      <c r="FV44" t="s">
        <v>26</v>
      </c>
      <c r="FW44" t="s">
        <v>27</v>
      </c>
      <c r="FX44">
        <v>95</v>
      </c>
      <c r="FY44">
        <v>65</v>
      </c>
      <c r="GA44" t="s">
        <v>3</v>
      </c>
      <c r="GD44">
        <v>0</v>
      </c>
      <c r="GF44">
        <v>967975408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53"/>
        <v>0</v>
      </c>
      <c r="GM44">
        <f t="shared" si="54"/>
        <v>2074.4299999999998</v>
      </c>
      <c r="GN44">
        <f t="shared" si="55"/>
        <v>0</v>
      </c>
      <c r="GO44">
        <f t="shared" si="56"/>
        <v>2074.4299999999998</v>
      </c>
      <c r="GP44">
        <f t="shared" si="57"/>
        <v>0</v>
      </c>
      <c r="GR44">
        <v>0</v>
      </c>
      <c r="GS44">
        <v>3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59"/>
        <v>0</v>
      </c>
      <c r="HA44">
        <v>0</v>
      </c>
      <c r="HB44">
        <v>0</v>
      </c>
      <c r="IK44">
        <v>0</v>
      </c>
    </row>
    <row r="45" spans="1:245" x14ac:dyDescent="0.2">
      <c r="A45">
        <v>18</v>
      </c>
      <c r="B45">
        <v>1</v>
      </c>
      <c r="C45">
        <v>51</v>
      </c>
      <c r="E45" t="s">
        <v>101</v>
      </c>
      <c r="F45" t="s">
        <v>94</v>
      </c>
      <c r="G45" t="s">
        <v>102</v>
      </c>
      <c r="H45" t="s">
        <v>78</v>
      </c>
      <c r="I45">
        <f>I44*J45</f>
        <v>0.08</v>
      </c>
      <c r="J45">
        <v>1</v>
      </c>
      <c r="O45">
        <f t="shared" si="21"/>
        <v>1997.01</v>
      </c>
      <c r="P45">
        <f t="shared" si="22"/>
        <v>1997.01</v>
      </c>
      <c r="Q45">
        <f t="shared" si="23"/>
        <v>0</v>
      </c>
      <c r="R45">
        <f t="shared" si="24"/>
        <v>0</v>
      </c>
      <c r="S45">
        <f t="shared" si="25"/>
        <v>0</v>
      </c>
      <c r="T45">
        <f t="shared" si="26"/>
        <v>0</v>
      </c>
      <c r="U45">
        <f t="shared" si="27"/>
        <v>0</v>
      </c>
      <c r="V45">
        <f t="shared" si="28"/>
        <v>0</v>
      </c>
      <c r="W45">
        <f t="shared" si="29"/>
        <v>0</v>
      </c>
      <c r="X45">
        <f t="shared" si="30"/>
        <v>0</v>
      </c>
      <c r="Y45">
        <f t="shared" si="31"/>
        <v>0</v>
      </c>
      <c r="AA45">
        <v>35007309</v>
      </c>
      <c r="AB45">
        <f t="shared" si="32"/>
        <v>6639</v>
      </c>
      <c r="AC45">
        <f t="shared" si="33"/>
        <v>6639</v>
      </c>
      <c r="AD45">
        <f t="shared" si="34"/>
        <v>0</v>
      </c>
      <c r="AE45">
        <f t="shared" si="35"/>
        <v>0</v>
      </c>
      <c r="AF45">
        <f t="shared" si="36"/>
        <v>0</v>
      </c>
      <c r="AG45">
        <f t="shared" si="37"/>
        <v>0</v>
      </c>
      <c r="AH45">
        <f t="shared" si="38"/>
        <v>0</v>
      </c>
      <c r="AI45">
        <f t="shared" si="39"/>
        <v>0</v>
      </c>
      <c r="AJ45">
        <f t="shared" si="40"/>
        <v>0</v>
      </c>
      <c r="AK45">
        <v>6639</v>
      </c>
      <c r="AL45">
        <v>6639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81</v>
      </c>
      <c r="AU45">
        <v>52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3.76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2</v>
      </c>
      <c r="BJ45" t="s">
        <v>96</v>
      </c>
      <c r="BM45">
        <v>108001</v>
      </c>
      <c r="BN45">
        <v>0</v>
      </c>
      <c r="BO45" t="s">
        <v>94</v>
      </c>
      <c r="BP45">
        <v>1</v>
      </c>
      <c r="BQ45">
        <v>3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95</v>
      </c>
      <c r="CA45">
        <v>65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1"/>
        <v>1997.01</v>
      </c>
      <c r="CQ45">
        <f t="shared" si="42"/>
        <v>24962.639999999999</v>
      </c>
      <c r="CR45">
        <f t="shared" si="43"/>
        <v>0</v>
      </c>
      <c r="CS45">
        <f t="shared" si="44"/>
        <v>0</v>
      </c>
      <c r="CT45">
        <f t="shared" si="45"/>
        <v>0</v>
      </c>
      <c r="CU45">
        <f t="shared" si="46"/>
        <v>0</v>
      </c>
      <c r="CV45">
        <f t="shared" si="47"/>
        <v>0</v>
      </c>
      <c r="CW45">
        <f t="shared" si="48"/>
        <v>0</v>
      </c>
      <c r="CX45">
        <f t="shared" si="49"/>
        <v>0</v>
      </c>
      <c r="CY45">
        <f t="shared" si="50"/>
        <v>0</v>
      </c>
      <c r="CZ45">
        <f t="shared" si="51"/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1010</v>
      </c>
      <c r="DV45" t="s">
        <v>78</v>
      </c>
      <c r="DW45" t="s">
        <v>78</v>
      </c>
      <c r="DX45">
        <v>100</v>
      </c>
      <c r="EE45">
        <v>31265967</v>
      </c>
      <c r="EF45">
        <v>3</v>
      </c>
      <c r="EG45" t="s">
        <v>46</v>
      </c>
      <c r="EH45">
        <v>0</v>
      </c>
      <c r="EI45" t="s">
        <v>3</v>
      </c>
      <c r="EJ45">
        <v>2</v>
      </c>
      <c r="EK45">
        <v>108001</v>
      </c>
      <c r="EL45" t="s">
        <v>47</v>
      </c>
      <c r="EM45" t="s">
        <v>48</v>
      </c>
      <c r="EO45" t="s">
        <v>3</v>
      </c>
      <c r="EQ45">
        <v>0</v>
      </c>
      <c r="ER45">
        <v>6639</v>
      </c>
      <c r="ES45">
        <v>6639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52"/>
        <v>0</v>
      </c>
      <c r="FS45">
        <v>0</v>
      </c>
      <c r="FV45" t="s">
        <v>26</v>
      </c>
      <c r="FW45" t="s">
        <v>27</v>
      </c>
      <c r="FX45">
        <v>95</v>
      </c>
      <c r="FY45">
        <v>65</v>
      </c>
      <c r="GA45" t="s">
        <v>3</v>
      </c>
      <c r="GD45">
        <v>0</v>
      </c>
      <c r="GF45">
        <v>1767810406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53"/>
        <v>0</v>
      </c>
      <c r="GM45">
        <f t="shared" si="54"/>
        <v>1997.01</v>
      </c>
      <c r="GN45">
        <f t="shared" si="55"/>
        <v>0</v>
      </c>
      <c r="GO45">
        <f t="shared" si="56"/>
        <v>1997.01</v>
      </c>
      <c r="GP45">
        <f t="shared" si="57"/>
        <v>0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59"/>
        <v>0</v>
      </c>
      <c r="HA45">
        <v>0</v>
      </c>
      <c r="HB45">
        <v>0</v>
      </c>
      <c r="IK45">
        <v>0</v>
      </c>
    </row>
    <row r="46" spans="1:245" x14ac:dyDescent="0.2">
      <c r="A46">
        <v>17</v>
      </c>
      <c r="B46">
        <v>1</v>
      </c>
      <c r="C46">
        <f>ROW(SmtRes!A62)</f>
        <v>62</v>
      </c>
      <c r="D46">
        <f>ROW(EtalonRes!A52)</f>
        <v>52</v>
      </c>
      <c r="E46" t="s">
        <v>103</v>
      </c>
      <c r="F46" t="s">
        <v>104</v>
      </c>
      <c r="G46" t="s">
        <v>105</v>
      </c>
      <c r="H46" t="s">
        <v>83</v>
      </c>
      <c r="I46">
        <v>12</v>
      </c>
      <c r="J46">
        <v>0</v>
      </c>
      <c r="O46">
        <f t="shared" si="21"/>
        <v>17750.96</v>
      </c>
      <c r="P46">
        <f t="shared" si="22"/>
        <v>1776.19</v>
      </c>
      <c r="Q46">
        <f t="shared" si="23"/>
        <v>193.52</v>
      </c>
      <c r="R46">
        <f t="shared" si="24"/>
        <v>77.13</v>
      </c>
      <c r="S46">
        <f t="shared" si="25"/>
        <v>15781.25</v>
      </c>
      <c r="T46">
        <f t="shared" si="26"/>
        <v>0</v>
      </c>
      <c r="U46">
        <f t="shared" si="27"/>
        <v>66.36</v>
      </c>
      <c r="V46">
        <f t="shared" si="28"/>
        <v>0.24</v>
      </c>
      <c r="W46">
        <f t="shared" si="29"/>
        <v>0</v>
      </c>
      <c r="X46">
        <f t="shared" si="30"/>
        <v>12845.29</v>
      </c>
      <c r="Y46">
        <f t="shared" si="31"/>
        <v>8246.36</v>
      </c>
      <c r="AA46">
        <v>35007309</v>
      </c>
      <c r="AB46">
        <f t="shared" si="32"/>
        <v>71.8</v>
      </c>
      <c r="AC46">
        <f t="shared" si="33"/>
        <v>16.82</v>
      </c>
      <c r="AD46">
        <f t="shared" si="34"/>
        <v>1.78</v>
      </c>
      <c r="AE46">
        <f t="shared" si="35"/>
        <v>0.26</v>
      </c>
      <c r="AF46">
        <f t="shared" si="36"/>
        <v>53.2</v>
      </c>
      <c r="AG46">
        <f t="shared" si="37"/>
        <v>0</v>
      </c>
      <c r="AH46">
        <f t="shared" si="38"/>
        <v>5.53</v>
      </c>
      <c r="AI46">
        <f t="shared" si="39"/>
        <v>0.02</v>
      </c>
      <c r="AJ46">
        <f t="shared" si="40"/>
        <v>0</v>
      </c>
      <c r="AK46">
        <v>71.8</v>
      </c>
      <c r="AL46">
        <v>16.82</v>
      </c>
      <c r="AM46">
        <v>1.78</v>
      </c>
      <c r="AN46">
        <v>0.26</v>
      </c>
      <c r="AO46">
        <v>53.2</v>
      </c>
      <c r="AP46">
        <v>0</v>
      </c>
      <c r="AQ46">
        <v>5.53</v>
      </c>
      <c r="AR46">
        <v>0.02</v>
      </c>
      <c r="AS46">
        <v>0</v>
      </c>
      <c r="AT46">
        <v>81</v>
      </c>
      <c r="AU46">
        <v>52</v>
      </c>
      <c r="AV46">
        <v>1</v>
      </c>
      <c r="AW46">
        <v>1</v>
      </c>
      <c r="AZ46">
        <v>1</v>
      </c>
      <c r="BA46">
        <v>24.72</v>
      </c>
      <c r="BB46">
        <v>9.06</v>
      </c>
      <c r="BC46">
        <v>8.8000000000000007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2</v>
      </c>
      <c r="BJ46" t="s">
        <v>106</v>
      </c>
      <c r="BM46">
        <v>108001</v>
      </c>
      <c r="BN46">
        <v>31265683</v>
      </c>
      <c r="BO46" t="s">
        <v>104</v>
      </c>
      <c r="BP46">
        <v>1</v>
      </c>
      <c r="BQ46">
        <v>3</v>
      </c>
      <c r="BR46">
        <v>0</v>
      </c>
      <c r="BS46">
        <v>24.72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95</v>
      </c>
      <c r="CA46">
        <v>65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1"/>
        <v>17750.96</v>
      </c>
      <c r="CQ46">
        <f t="shared" si="42"/>
        <v>148.01600000000002</v>
      </c>
      <c r="CR46">
        <f t="shared" si="43"/>
        <v>16.126799999999999</v>
      </c>
      <c r="CS46">
        <f t="shared" si="44"/>
        <v>6.4272</v>
      </c>
      <c r="CT46">
        <f t="shared" si="45"/>
        <v>1315.104</v>
      </c>
      <c r="CU46">
        <f t="shared" si="46"/>
        <v>0</v>
      </c>
      <c r="CV46">
        <f t="shared" si="47"/>
        <v>5.53</v>
      </c>
      <c r="CW46">
        <f t="shared" si="48"/>
        <v>0.02</v>
      </c>
      <c r="CX46">
        <f t="shared" si="49"/>
        <v>0</v>
      </c>
      <c r="CY46">
        <f t="shared" si="50"/>
        <v>12845.2878</v>
      </c>
      <c r="CZ46">
        <f t="shared" si="51"/>
        <v>8246.3575999999994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1013</v>
      </c>
      <c r="DV46" t="s">
        <v>83</v>
      </c>
      <c r="DW46" t="s">
        <v>83</v>
      </c>
      <c r="DX46">
        <v>1</v>
      </c>
      <c r="EE46">
        <v>31265967</v>
      </c>
      <c r="EF46">
        <v>3</v>
      </c>
      <c r="EG46" t="s">
        <v>46</v>
      </c>
      <c r="EH46">
        <v>0</v>
      </c>
      <c r="EI46" t="s">
        <v>3</v>
      </c>
      <c r="EJ46">
        <v>2</v>
      </c>
      <c r="EK46">
        <v>108001</v>
      </c>
      <c r="EL46" t="s">
        <v>47</v>
      </c>
      <c r="EM46" t="s">
        <v>48</v>
      </c>
      <c r="EO46" t="s">
        <v>3</v>
      </c>
      <c r="EQ46">
        <v>512</v>
      </c>
      <c r="ER46">
        <v>71.8</v>
      </c>
      <c r="ES46">
        <v>16.82</v>
      </c>
      <c r="ET46">
        <v>1.78</v>
      </c>
      <c r="EU46">
        <v>0.26</v>
      </c>
      <c r="EV46">
        <v>53.2</v>
      </c>
      <c r="EW46">
        <v>5.53</v>
      </c>
      <c r="EX46">
        <v>0.02</v>
      </c>
      <c r="EY46">
        <v>0</v>
      </c>
      <c r="FQ46">
        <v>0</v>
      </c>
      <c r="FR46">
        <f t="shared" si="52"/>
        <v>0</v>
      </c>
      <c r="FS46">
        <v>0</v>
      </c>
      <c r="FV46" t="s">
        <v>26</v>
      </c>
      <c r="FW46" t="s">
        <v>27</v>
      </c>
      <c r="FX46">
        <v>95</v>
      </c>
      <c r="FY46">
        <v>65</v>
      </c>
      <c r="GA46" t="s">
        <v>3</v>
      </c>
      <c r="GD46">
        <v>0</v>
      </c>
      <c r="GF46">
        <v>-1730314416</v>
      </c>
      <c r="GG46">
        <v>2</v>
      </c>
      <c r="GH46">
        <v>1</v>
      </c>
      <c r="GI46">
        <v>2</v>
      </c>
      <c r="GJ46">
        <v>0</v>
      </c>
      <c r="GK46">
        <f>ROUND(R46*(R12)/100,2)</f>
        <v>0</v>
      </c>
      <c r="GL46">
        <f t="shared" si="53"/>
        <v>0</v>
      </c>
      <c r="GM46">
        <f t="shared" si="54"/>
        <v>38842.61</v>
      </c>
      <c r="GN46">
        <f t="shared" si="55"/>
        <v>0</v>
      </c>
      <c r="GO46">
        <f t="shared" si="56"/>
        <v>38842.61</v>
      </c>
      <c r="GP46">
        <f t="shared" si="57"/>
        <v>0</v>
      </c>
      <c r="GR46">
        <v>0</v>
      </c>
      <c r="GS46">
        <v>3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59"/>
        <v>0</v>
      </c>
      <c r="HA46">
        <v>0</v>
      </c>
      <c r="HB46">
        <v>0</v>
      </c>
      <c r="IK46">
        <v>0</v>
      </c>
    </row>
    <row r="47" spans="1:245" x14ac:dyDescent="0.2">
      <c r="A47">
        <v>18</v>
      </c>
      <c r="B47">
        <v>1</v>
      </c>
      <c r="C47">
        <v>62</v>
      </c>
      <c r="E47" t="s">
        <v>107</v>
      </c>
      <c r="F47" t="s">
        <v>108</v>
      </c>
      <c r="G47" t="s">
        <v>109</v>
      </c>
      <c r="H47" t="s">
        <v>83</v>
      </c>
      <c r="I47">
        <f>I46*J47</f>
        <v>12</v>
      </c>
      <c r="J47">
        <v>1</v>
      </c>
      <c r="O47">
        <f t="shared" si="21"/>
        <v>45204.53</v>
      </c>
      <c r="P47">
        <f t="shared" si="22"/>
        <v>45204.53</v>
      </c>
      <c r="Q47">
        <f t="shared" si="23"/>
        <v>0</v>
      </c>
      <c r="R47">
        <f t="shared" si="24"/>
        <v>0</v>
      </c>
      <c r="S47">
        <f t="shared" si="25"/>
        <v>0</v>
      </c>
      <c r="T47">
        <f t="shared" si="26"/>
        <v>0</v>
      </c>
      <c r="U47">
        <f t="shared" si="27"/>
        <v>0</v>
      </c>
      <c r="V47">
        <f t="shared" si="28"/>
        <v>0</v>
      </c>
      <c r="W47">
        <f t="shared" si="29"/>
        <v>0</v>
      </c>
      <c r="X47">
        <f t="shared" si="30"/>
        <v>0</v>
      </c>
      <c r="Y47">
        <f t="shared" si="31"/>
        <v>0</v>
      </c>
      <c r="AA47">
        <v>35007309</v>
      </c>
      <c r="AB47">
        <f t="shared" si="32"/>
        <v>520.30999999999995</v>
      </c>
      <c r="AC47">
        <f t="shared" si="33"/>
        <v>520.30999999999995</v>
      </c>
      <c r="AD47">
        <f t="shared" si="34"/>
        <v>0</v>
      </c>
      <c r="AE47">
        <f t="shared" si="35"/>
        <v>0</v>
      </c>
      <c r="AF47">
        <f t="shared" si="36"/>
        <v>0</v>
      </c>
      <c r="AG47">
        <f t="shared" si="37"/>
        <v>0</v>
      </c>
      <c r="AH47">
        <f t="shared" si="38"/>
        <v>0</v>
      </c>
      <c r="AI47">
        <f t="shared" si="39"/>
        <v>0</v>
      </c>
      <c r="AJ47">
        <f t="shared" si="40"/>
        <v>0</v>
      </c>
      <c r="AK47">
        <v>520.31000000000006</v>
      </c>
      <c r="AL47">
        <v>520.31000000000006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81</v>
      </c>
      <c r="AU47">
        <v>52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7.24</v>
      </c>
      <c r="BD47" t="s">
        <v>3</v>
      </c>
      <c r="BE47" t="s">
        <v>3</v>
      </c>
      <c r="BF47" t="s">
        <v>3</v>
      </c>
      <c r="BG47" t="s">
        <v>3</v>
      </c>
      <c r="BH47">
        <v>3</v>
      </c>
      <c r="BI47">
        <v>2</v>
      </c>
      <c r="BJ47" t="s">
        <v>3</v>
      </c>
      <c r="BM47">
        <v>108001</v>
      </c>
      <c r="BN47">
        <v>0</v>
      </c>
      <c r="BO47" t="s">
        <v>3</v>
      </c>
      <c r="BP47">
        <v>0</v>
      </c>
      <c r="BQ47">
        <v>3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95</v>
      </c>
      <c r="CA47">
        <v>65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1"/>
        <v>45204.53</v>
      </c>
      <c r="CQ47">
        <f t="shared" si="42"/>
        <v>3767.0443999999998</v>
      </c>
      <c r="CR47">
        <f t="shared" si="43"/>
        <v>0</v>
      </c>
      <c r="CS47">
        <f t="shared" si="44"/>
        <v>0</v>
      </c>
      <c r="CT47">
        <f t="shared" si="45"/>
        <v>0</v>
      </c>
      <c r="CU47">
        <f t="shared" si="46"/>
        <v>0</v>
      </c>
      <c r="CV47">
        <f t="shared" si="47"/>
        <v>0</v>
      </c>
      <c r="CW47">
        <f t="shared" si="48"/>
        <v>0</v>
      </c>
      <c r="CX47">
        <f t="shared" si="49"/>
        <v>0</v>
      </c>
      <c r="CY47">
        <f t="shared" si="50"/>
        <v>0</v>
      </c>
      <c r="CZ47">
        <f t="shared" si="51"/>
        <v>0</v>
      </c>
      <c r="DC47" t="s">
        <v>3</v>
      </c>
      <c r="DD47" t="s">
        <v>3</v>
      </c>
      <c r="DE47" t="s">
        <v>3</v>
      </c>
      <c r="DF47" t="s">
        <v>3</v>
      </c>
      <c r="DG47" t="s">
        <v>3</v>
      </c>
      <c r="DH47" t="s">
        <v>3</v>
      </c>
      <c r="DI47" t="s">
        <v>3</v>
      </c>
      <c r="DJ47" t="s">
        <v>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1013</v>
      </c>
      <c r="DV47" t="s">
        <v>83</v>
      </c>
      <c r="DW47" t="s">
        <v>83</v>
      </c>
      <c r="DX47">
        <v>1</v>
      </c>
      <c r="EE47">
        <v>31265967</v>
      </c>
      <c r="EF47">
        <v>3</v>
      </c>
      <c r="EG47" t="s">
        <v>46</v>
      </c>
      <c r="EH47">
        <v>0</v>
      </c>
      <c r="EI47" t="s">
        <v>3</v>
      </c>
      <c r="EJ47">
        <v>2</v>
      </c>
      <c r="EK47">
        <v>108001</v>
      </c>
      <c r="EL47" t="s">
        <v>47</v>
      </c>
      <c r="EM47" t="s">
        <v>48</v>
      </c>
      <c r="EO47" t="s">
        <v>3</v>
      </c>
      <c r="EQ47">
        <v>512</v>
      </c>
      <c r="ER47">
        <v>520.31000000000006</v>
      </c>
      <c r="ES47">
        <v>520.31000000000006</v>
      </c>
      <c r="ET47">
        <v>0</v>
      </c>
      <c r="EU47">
        <v>0</v>
      </c>
      <c r="EV47">
        <v>0</v>
      </c>
      <c r="EW47">
        <v>0</v>
      </c>
      <c r="EX47">
        <v>0</v>
      </c>
      <c r="EZ47">
        <v>5</v>
      </c>
      <c r="FC47">
        <v>0</v>
      </c>
      <c r="FD47">
        <v>18</v>
      </c>
      <c r="FF47">
        <v>3585.59</v>
      </c>
      <c r="FQ47">
        <v>0</v>
      </c>
      <c r="FR47">
        <f t="shared" si="52"/>
        <v>0</v>
      </c>
      <c r="FS47">
        <v>0</v>
      </c>
      <c r="FV47" t="s">
        <v>26</v>
      </c>
      <c r="FW47" t="s">
        <v>27</v>
      </c>
      <c r="FX47">
        <v>95</v>
      </c>
      <c r="FY47">
        <v>65</v>
      </c>
      <c r="GA47" t="s">
        <v>110</v>
      </c>
      <c r="GD47">
        <v>0</v>
      </c>
      <c r="GF47">
        <v>-816538959</v>
      </c>
      <c r="GG47">
        <v>2</v>
      </c>
      <c r="GH47">
        <v>3</v>
      </c>
      <c r="GI47">
        <v>3</v>
      </c>
      <c r="GJ47">
        <v>0</v>
      </c>
      <c r="GK47">
        <f>ROUND(R47*(R12)/100,2)</f>
        <v>0</v>
      </c>
      <c r="GL47">
        <f t="shared" si="53"/>
        <v>0</v>
      </c>
      <c r="GM47">
        <f t="shared" si="54"/>
        <v>45204.53</v>
      </c>
      <c r="GN47">
        <f t="shared" si="55"/>
        <v>0</v>
      </c>
      <c r="GO47">
        <f t="shared" si="56"/>
        <v>45204.53</v>
      </c>
      <c r="GP47">
        <f t="shared" si="57"/>
        <v>0</v>
      </c>
      <c r="GR47">
        <v>1</v>
      </c>
      <c r="GS47">
        <v>1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59"/>
        <v>0</v>
      </c>
      <c r="HA47">
        <v>0</v>
      </c>
      <c r="HB47">
        <v>0</v>
      </c>
      <c r="IK47">
        <v>0</v>
      </c>
    </row>
    <row r="48" spans="1:245" x14ac:dyDescent="0.2">
      <c r="A48">
        <v>17</v>
      </c>
      <c r="B48">
        <v>1</v>
      </c>
      <c r="C48">
        <f>ROW(SmtRes!A70)</f>
        <v>70</v>
      </c>
      <c r="D48">
        <f>ROW(EtalonRes!A60)</f>
        <v>60</v>
      </c>
      <c r="E48" t="s">
        <v>111</v>
      </c>
      <c r="F48" t="s">
        <v>112</v>
      </c>
      <c r="G48" t="s">
        <v>113</v>
      </c>
      <c r="H48" t="s">
        <v>114</v>
      </c>
      <c r="I48">
        <f>ROUND(10.8/100,9)</f>
        <v>0.108</v>
      </c>
      <c r="J48">
        <v>0</v>
      </c>
      <c r="O48">
        <f t="shared" si="21"/>
        <v>1677.33</v>
      </c>
      <c r="P48">
        <f t="shared" si="22"/>
        <v>58.76</v>
      </c>
      <c r="Q48">
        <f t="shared" si="23"/>
        <v>107.33</v>
      </c>
      <c r="R48">
        <f t="shared" si="24"/>
        <v>8.06</v>
      </c>
      <c r="S48">
        <f t="shared" si="25"/>
        <v>1511.24</v>
      </c>
      <c r="T48">
        <f t="shared" si="26"/>
        <v>0</v>
      </c>
      <c r="U48">
        <f t="shared" si="27"/>
        <v>6.7402799999999994</v>
      </c>
      <c r="V48">
        <f t="shared" si="28"/>
        <v>2.8080000000000001E-2</v>
      </c>
      <c r="W48">
        <f t="shared" si="29"/>
        <v>0</v>
      </c>
      <c r="X48">
        <f t="shared" si="30"/>
        <v>1291.4100000000001</v>
      </c>
      <c r="Y48">
        <f t="shared" si="31"/>
        <v>850.81</v>
      </c>
      <c r="AA48">
        <v>35007309</v>
      </c>
      <c r="AB48">
        <f t="shared" si="32"/>
        <v>818.71</v>
      </c>
      <c r="AC48">
        <f t="shared" si="33"/>
        <v>63.71</v>
      </c>
      <c r="AD48">
        <f t="shared" si="34"/>
        <v>188.94</v>
      </c>
      <c r="AE48">
        <f t="shared" si="35"/>
        <v>3.02</v>
      </c>
      <c r="AF48">
        <f t="shared" si="36"/>
        <v>566.05999999999995</v>
      </c>
      <c r="AG48">
        <f t="shared" si="37"/>
        <v>0</v>
      </c>
      <c r="AH48">
        <f t="shared" si="38"/>
        <v>62.41</v>
      </c>
      <c r="AI48">
        <f t="shared" si="39"/>
        <v>0.26</v>
      </c>
      <c r="AJ48">
        <f t="shared" si="40"/>
        <v>0</v>
      </c>
      <c r="AK48">
        <v>818.71</v>
      </c>
      <c r="AL48">
        <v>63.71</v>
      </c>
      <c r="AM48">
        <v>188.94</v>
      </c>
      <c r="AN48">
        <v>3.02</v>
      </c>
      <c r="AO48">
        <v>566.05999999999995</v>
      </c>
      <c r="AP48">
        <v>0</v>
      </c>
      <c r="AQ48">
        <v>62.41</v>
      </c>
      <c r="AR48">
        <v>0.26</v>
      </c>
      <c r="AS48">
        <v>0</v>
      </c>
      <c r="AT48">
        <v>85</v>
      </c>
      <c r="AU48">
        <v>56</v>
      </c>
      <c r="AV48">
        <v>1</v>
      </c>
      <c r="AW48">
        <v>1</v>
      </c>
      <c r="AZ48">
        <v>1</v>
      </c>
      <c r="BA48">
        <v>24.72</v>
      </c>
      <c r="BB48">
        <v>5.26</v>
      </c>
      <c r="BC48">
        <v>8.5399999999999991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1</v>
      </c>
      <c r="BJ48" t="s">
        <v>115</v>
      </c>
      <c r="BM48">
        <v>26001</v>
      </c>
      <c r="BN48">
        <v>31265683</v>
      </c>
      <c r="BO48" t="s">
        <v>112</v>
      </c>
      <c r="BP48">
        <v>1</v>
      </c>
      <c r="BQ48">
        <v>2</v>
      </c>
      <c r="BR48">
        <v>0</v>
      </c>
      <c r="BS48">
        <v>24.72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100</v>
      </c>
      <c r="CA48">
        <v>70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1"/>
        <v>1677.33</v>
      </c>
      <c r="CQ48">
        <f t="shared" si="42"/>
        <v>544.08339999999998</v>
      </c>
      <c r="CR48">
        <f t="shared" si="43"/>
        <v>993.82439999999997</v>
      </c>
      <c r="CS48">
        <f t="shared" si="44"/>
        <v>74.654399999999995</v>
      </c>
      <c r="CT48">
        <f t="shared" si="45"/>
        <v>13993.003199999997</v>
      </c>
      <c r="CU48">
        <f t="shared" si="46"/>
        <v>0</v>
      </c>
      <c r="CV48">
        <f t="shared" si="47"/>
        <v>62.41</v>
      </c>
      <c r="CW48">
        <f t="shared" si="48"/>
        <v>0.26</v>
      </c>
      <c r="CX48">
        <f t="shared" si="49"/>
        <v>0</v>
      </c>
      <c r="CY48">
        <f t="shared" si="50"/>
        <v>1291.405</v>
      </c>
      <c r="CZ48">
        <f t="shared" si="51"/>
        <v>850.80799999999999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1005</v>
      </c>
      <c r="DV48" t="s">
        <v>114</v>
      </c>
      <c r="DW48" t="s">
        <v>114</v>
      </c>
      <c r="DX48">
        <v>100</v>
      </c>
      <c r="EE48">
        <v>31265880</v>
      </c>
      <c r="EF48">
        <v>2</v>
      </c>
      <c r="EG48" t="s">
        <v>23</v>
      </c>
      <c r="EH48">
        <v>0</v>
      </c>
      <c r="EI48" t="s">
        <v>3</v>
      </c>
      <c r="EJ48">
        <v>1</v>
      </c>
      <c r="EK48">
        <v>26001</v>
      </c>
      <c r="EL48" t="s">
        <v>116</v>
      </c>
      <c r="EM48" t="s">
        <v>117</v>
      </c>
      <c r="EO48" t="s">
        <v>3</v>
      </c>
      <c r="EQ48">
        <v>0</v>
      </c>
      <c r="ER48">
        <v>818.71</v>
      </c>
      <c r="ES48">
        <v>63.71</v>
      </c>
      <c r="ET48">
        <v>188.94</v>
      </c>
      <c r="EU48">
        <v>3.02</v>
      </c>
      <c r="EV48">
        <v>566.05999999999995</v>
      </c>
      <c r="EW48">
        <v>62.41</v>
      </c>
      <c r="EX48">
        <v>0.26</v>
      </c>
      <c r="EY48">
        <v>0</v>
      </c>
      <c r="FQ48">
        <v>0</v>
      </c>
      <c r="FR48">
        <f t="shared" si="52"/>
        <v>0</v>
      </c>
      <c r="FS48">
        <v>0</v>
      </c>
      <c r="FV48" t="s">
        <v>26</v>
      </c>
      <c r="FW48" t="s">
        <v>27</v>
      </c>
      <c r="FX48">
        <v>100</v>
      </c>
      <c r="FY48">
        <v>70</v>
      </c>
      <c r="GA48" t="s">
        <v>3</v>
      </c>
      <c r="GD48">
        <v>0</v>
      </c>
      <c r="GF48">
        <v>-1549049273</v>
      </c>
      <c r="GG48">
        <v>2</v>
      </c>
      <c r="GH48">
        <v>1</v>
      </c>
      <c r="GI48">
        <v>2</v>
      </c>
      <c r="GJ48">
        <v>0</v>
      </c>
      <c r="GK48">
        <f>ROUND(R48*(R12)/100,2)</f>
        <v>0</v>
      </c>
      <c r="GL48">
        <f t="shared" si="53"/>
        <v>0</v>
      </c>
      <c r="GM48">
        <f t="shared" si="54"/>
        <v>3819.55</v>
      </c>
      <c r="GN48">
        <f t="shared" si="55"/>
        <v>3819.55</v>
      </c>
      <c r="GO48">
        <f t="shared" si="56"/>
        <v>0</v>
      </c>
      <c r="GP48">
        <f t="shared" si="57"/>
        <v>0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59"/>
        <v>0</v>
      </c>
      <c r="HA48">
        <v>0</v>
      </c>
      <c r="HB48">
        <v>0</v>
      </c>
      <c r="IK48">
        <v>0</v>
      </c>
    </row>
    <row r="49" spans="1:245" x14ac:dyDescent="0.2">
      <c r="A49">
        <v>18</v>
      </c>
      <c r="B49">
        <v>1</v>
      </c>
      <c r="C49">
        <v>70</v>
      </c>
      <c r="E49" t="s">
        <v>118</v>
      </c>
      <c r="F49" t="s">
        <v>119</v>
      </c>
      <c r="G49" t="s">
        <v>120</v>
      </c>
      <c r="H49" t="s">
        <v>121</v>
      </c>
      <c r="I49">
        <f>I48*J49</f>
        <v>21.6</v>
      </c>
      <c r="J49">
        <v>200.00000000000003</v>
      </c>
      <c r="O49">
        <f t="shared" si="21"/>
        <v>7551.64</v>
      </c>
      <c r="P49">
        <f t="shared" si="22"/>
        <v>7551.64</v>
      </c>
      <c r="Q49">
        <f t="shared" si="23"/>
        <v>0</v>
      </c>
      <c r="R49">
        <f t="shared" si="24"/>
        <v>0</v>
      </c>
      <c r="S49">
        <f t="shared" si="25"/>
        <v>0</v>
      </c>
      <c r="T49">
        <f t="shared" si="26"/>
        <v>0</v>
      </c>
      <c r="U49">
        <f t="shared" si="27"/>
        <v>0</v>
      </c>
      <c r="V49">
        <f t="shared" si="28"/>
        <v>0</v>
      </c>
      <c r="W49">
        <f t="shared" si="29"/>
        <v>0</v>
      </c>
      <c r="X49">
        <f t="shared" si="30"/>
        <v>0</v>
      </c>
      <c r="Y49">
        <f t="shared" si="31"/>
        <v>0</v>
      </c>
      <c r="AA49">
        <v>35007309</v>
      </c>
      <c r="AB49">
        <f t="shared" si="32"/>
        <v>94.49</v>
      </c>
      <c r="AC49">
        <f t="shared" si="33"/>
        <v>94.49</v>
      </c>
      <c r="AD49">
        <f t="shared" si="34"/>
        <v>0</v>
      </c>
      <c r="AE49">
        <f t="shared" si="35"/>
        <v>0</v>
      </c>
      <c r="AF49">
        <f t="shared" si="36"/>
        <v>0</v>
      </c>
      <c r="AG49">
        <f t="shared" si="37"/>
        <v>0</v>
      </c>
      <c r="AH49">
        <f t="shared" si="38"/>
        <v>0</v>
      </c>
      <c r="AI49">
        <f t="shared" si="39"/>
        <v>0</v>
      </c>
      <c r="AJ49">
        <f t="shared" si="40"/>
        <v>0</v>
      </c>
      <c r="AK49">
        <v>94.49</v>
      </c>
      <c r="AL49">
        <v>94.49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85</v>
      </c>
      <c r="AU49">
        <v>56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3.7</v>
      </c>
      <c r="BD49" t="s">
        <v>3</v>
      </c>
      <c r="BE49" t="s">
        <v>3</v>
      </c>
      <c r="BF49" t="s">
        <v>3</v>
      </c>
      <c r="BG49" t="s">
        <v>3</v>
      </c>
      <c r="BH49">
        <v>3</v>
      </c>
      <c r="BI49">
        <v>1</v>
      </c>
      <c r="BJ49" t="s">
        <v>122</v>
      </c>
      <c r="BM49">
        <v>26001</v>
      </c>
      <c r="BN49">
        <v>0</v>
      </c>
      <c r="BO49" t="s">
        <v>119</v>
      </c>
      <c r="BP49">
        <v>1</v>
      </c>
      <c r="BQ49">
        <v>2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100</v>
      </c>
      <c r="CA49">
        <v>70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41"/>
        <v>7551.64</v>
      </c>
      <c r="CQ49">
        <f t="shared" si="42"/>
        <v>349.613</v>
      </c>
      <c r="CR49">
        <f t="shared" si="43"/>
        <v>0</v>
      </c>
      <c r="CS49">
        <f t="shared" si="44"/>
        <v>0</v>
      </c>
      <c r="CT49">
        <f t="shared" si="45"/>
        <v>0</v>
      </c>
      <c r="CU49">
        <f t="shared" si="46"/>
        <v>0</v>
      </c>
      <c r="CV49">
        <f t="shared" si="47"/>
        <v>0</v>
      </c>
      <c r="CW49">
        <f t="shared" si="48"/>
        <v>0</v>
      </c>
      <c r="CX49">
        <f t="shared" si="49"/>
        <v>0</v>
      </c>
      <c r="CY49">
        <f t="shared" si="50"/>
        <v>0</v>
      </c>
      <c r="CZ49">
        <f t="shared" si="51"/>
        <v>0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1009</v>
      </c>
      <c r="DV49" t="s">
        <v>121</v>
      </c>
      <c r="DW49" t="s">
        <v>121</v>
      </c>
      <c r="DX49">
        <v>1</v>
      </c>
      <c r="EE49">
        <v>31265880</v>
      </c>
      <c r="EF49">
        <v>2</v>
      </c>
      <c r="EG49" t="s">
        <v>23</v>
      </c>
      <c r="EH49">
        <v>0</v>
      </c>
      <c r="EI49" t="s">
        <v>3</v>
      </c>
      <c r="EJ49">
        <v>1</v>
      </c>
      <c r="EK49">
        <v>26001</v>
      </c>
      <c r="EL49" t="s">
        <v>116</v>
      </c>
      <c r="EM49" t="s">
        <v>117</v>
      </c>
      <c r="EO49" t="s">
        <v>3</v>
      </c>
      <c r="EQ49">
        <v>0</v>
      </c>
      <c r="ER49">
        <v>94.49</v>
      </c>
      <c r="ES49">
        <v>94.49</v>
      </c>
      <c r="ET49">
        <v>0</v>
      </c>
      <c r="EU49">
        <v>0</v>
      </c>
      <c r="EV49">
        <v>0</v>
      </c>
      <c r="EW49">
        <v>0</v>
      </c>
      <c r="EX49">
        <v>0</v>
      </c>
      <c r="FQ49">
        <v>0</v>
      </c>
      <c r="FR49">
        <f t="shared" si="52"/>
        <v>0</v>
      </c>
      <c r="FS49">
        <v>0</v>
      </c>
      <c r="FV49" t="s">
        <v>26</v>
      </c>
      <c r="FW49" t="s">
        <v>27</v>
      </c>
      <c r="FX49">
        <v>100</v>
      </c>
      <c r="FY49">
        <v>70</v>
      </c>
      <c r="GA49" t="s">
        <v>3</v>
      </c>
      <c r="GD49">
        <v>0</v>
      </c>
      <c r="GF49">
        <v>-499544449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53"/>
        <v>0</v>
      </c>
      <c r="GM49">
        <f t="shared" si="54"/>
        <v>7551.64</v>
      </c>
      <c r="GN49">
        <f t="shared" si="55"/>
        <v>7551.64</v>
      </c>
      <c r="GO49">
        <f t="shared" si="56"/>
        <v>0</v>
      </c>
      <c r="GP49">
        <f t="shared" si="57"/>
        <v>0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59"/>
        <v>0</v>
      </c>
      <c r="HA49">
        <v>0</v>
      </c>
      <c r="HB49">
        <v>0</v>
      </c>
      <c r="IK49">
        <v>0</v>
      </c>
    </row>
    <row r="50" spans="1:245" x14ac:dyDescent="0.2">
      <c r="A50">
        <v>17</v>
      </c>
      <c r="B50">
        <v>1</v>
      </c>
      <c r="C50">
        <f>ROW(SmtRes!A72)</f>
        <v>72</v>
      </c>
      <c r="D50">
        <f>ROW(EtalonRes!A62)</f>
        <v>62</v>
      </c>
      <c r="E50" t="s">
        <v>123</v>
      </c>
      <c r="F50" t="s">
        <v>90</v>
      </c>
      <c r="G50" t="s">
        <v>124</v>
      </c>
      <c r="H50" t="s">
        <v>73</v>
      </c>
      <c r="I50">
        <f>ROUND((15/100)*1,9)</f>
        <v>0.15</v>
      </c>
      <c r="J50">
        <v>0</v>
      </c>
      <c r="O50">
        <f t="shared" si="21"/>
        <v>759.1</v>
      </c>
      <c r="P50">
        <f t="shared" si="22"/>
        <v>0</v>
      </c>
      <c r="Q50">
        <f t="shared" si="23"/>
        <v>0</v>
      </c>
      <c r="R50">
        <f t="shared" si="24"/>
        <v>0</v>
      </c>
      <c r="S50">
        <f t="shared" si="25"/>
        <v>759.1</v>
      </c>
      <c r="T50">
        <f t="shared" si="26"/>
        <v>0</v>
      </c>
      <c r="U50">
        <f t="shared" si="27"/>
        <v>3.1919999999999997</v>
      </c>
      <c r="V50">
        <f t="shared" si="28"/>
        <v>0</v>
      </c>
      <c r="W50">
        <f t="shared" si="29"/>
        <v>0</v>
      </c>
      <c r="X50">
        <f t="shared" si="30"/>
        <v>614.87</v>
      </c>
      <c r="Y50">
        <f t="shared" si="31"/>
        <v>394.73</v>
      </c>
      <c r="AA50">
        <v>35007309</v>
      </c>
      <c r="AB50">
        <f t="shared" si="32"/>
        <v>204.72</v>
      </c>
      <c r="AC50">
        <f>ROUND(((ES50*0)),2)</f>
        <v>0</v>
      </c>
      <c r="AD50">
        <f>ROUND(((((ET50*0.7))-((EU50*0.7)))+AE50),2)</f>
        <v>0</v>
      </c>
      <c r="AE50">
        <f>ROUND(((EU50*0.7)),2)</f>
        <v>0</v>
      </c>
      <c r="AF50">
        <f>ROUND(((EV50*0.7)),2)</f>
        <v>204.72</v>
      </c>
      <c r="AG50">
        <f t="shared" si="37"/>
        <v>0</v>
      </c>
      <c r="AH50">
        <f>((EW50*0.7))</f>
        <v>21.279999999999998</v>
      </c>
      <c r="AI50">
        <f>((EX50*0.7))</f>
        <v>0</v>
      </c>
      <c r="AJ50">
        <f t="shared" si="40"/>
        <v>0</v>
      </c>
      <c r="AK50">
        <v>298.3</v>
      </c>
      <c r="AL50">
        <v>5.85</v>
      </c>
      <c r="AM50">
        <v>0</v>
      </c>
      <c r="AN50">
        <v>0</v>
      </c>
      <c r="AO50">
        <v>292.45</v>
      </c>
      <c r="AP50">
        <v>0</v>
      </c>
      <c r="AQ50">
        <v>30.4</v>
      </c>
      <c r="AR50">
        <v>0</v>
      </c>
      <c r="AS50">
        <v>0</v>
      </c>
      <c r="AT50">
        <v>81</v>
      </c>
      <c r="AU50">
        <v>52</v>
      </c>
      <c r="AV50">
        <v>1</v>
      </c>
      <c r="AW50">
        <v>1</v>
      </c>
      <c r="AZ50">
        <v>1</v>
      </c>
      <c r="BA50">
        <v>24.72</v>
      </c>
      <c r="BB50">
        <v>1</v>
      </c>
      <c r="BC50">
        <v>24.72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2</v>
      </c>
      <c r="BJ50" t="s">
        <v>92</v>
      </c>
      <c r="BM50">
        <v>108001</v>
      </c>
      <c r="BN50">
        <v>31265683</v>
      </c>
      <c r="BO50" t="s">
        <v>90</v>
      </c>
      <c r="BP50">
        <v>1</v>
      </c>
      <c r="BQ50">
        <v>3</v>
      </c>
      <c r="BR50">
        <v>0</v>
      </c>
      <c r="BS50">
        <v>24.72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95</v>
      </c>
      <c r="CA50">
        <v>65</v>
      </c>
      <c r="CF50">
        <v>0</v>
      </c>
      <c r="CG50">
        <v>0</v>
      </c>
      <c r="CM50">
        <v>0</v>
      </c>
      <c r="CN50" t="s">
        <v>374</v>
      </c>
      <c r="CO50">
        <v>0</v>
      </c>
      <c r="CP50">
        <f t="shared" si="41"/>
        <v>759.1</v>
      </c>
      <c r="CQ50">
        <f t="shared" si="42"/>
        <v>0</v>
      </c>
      <c r="CR50">
        <f t="shared" si="43"/>
        <v>0</v>
      </c>
      <c r="CS50">
        <f t="shared" si="44"/>
        <v>0</v>
      </c>
      <c r="CT50">
        <f t="shared" si="45"/>
        <v>5060.6783999999998</v>
      </c>
      <c r="CU50">
        <f t="shared" si="46"/>
        <v>0</v>
      </c>
      <c r="CV50">
        <f t="shared" si="47"/>
        <v>21.279999999999998</v>
      </c>
      <c r="CW50">
        <f t="shared" si="48"/>
        <v>0</v>
      </c>
      <c r="CX50">
        <f t="shared" si="49"/>
        <v>0</v>
      </c>
      <c r="CY50">
        <f t="shared" si="50"/>
        <v>614.87099999999998</v>
      </c>
      <c r="CZ50">
        <f t="shared" si="51"/>
        <v>394.73200000000003</v>
      </c>
      <c r="DC50" t="s">
        <v>3</v>
      </c>
      <c r="DD50" t="s">
        <v>125</v>
      </c>
      <c r="DE50" t="s">
        <v>126</v>
      </c>
      <c r="DF50" t="s">
        <v>126</v>
      </c>
      <c r="DG50" t="s">
        <v>126</v>
      </c>
      <c r="DH50" t="s">
        <v>3</v>
      </c>
      <c r="DI50" t="s">
        <v>126</v>
      </c>
      <c r="DJ50" t="s">
        <v>126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1013</v>
      </c>
      <c r="DV50" t="s">
        <v>73</v>
      </c>
      <c r="DW50" t="s">
        <v>73</v>
      </c>
      <c r="DX50">
        <v>1</v>
      </c>
      <c r="EE50">
        <v>31265967</v>
      </c>
      <c r="EF50">
        <v>3</v>
      </c>
      <c r="EG50" t="s">
        <v>46</v>
      </c>
      <c r="EH50">
        <v>0</v>
      </c>
      <c r="EI50" t="s">
        <v>3</v>
      </c>
      <c r="EJ50">
        <v>2</v>
      </c>
      <c r="EK50">
        <v>108001</v>
      </c>
      <c r="EL50" t="s">
        <v>47</v>
      </c>
      <c r="EM50" t="s">
        <v>48</v>
      </c>
      <c r="EO50" t="s">
        <v>127</v>
      </c>
      <c r="EQ50">
        <v>512</v>
      </c>
      <c r="ER50">
        <v>298.3</v>
      </c>
      <c r="ES50">
        <v>5.85</v>
      </c>
      <c r="ET50">
        <v>0</v>
      </c>
      <c r="EU50">
        <v>0</v>
      </c>
      <c r="EV50">
        <v>292.45</v>
      </c>
      <c r="EW50">
        <v>30.4</v>
      </c>
      <c r="EX50">
        <v>0</v>
      </c>
      <c r="EY50">
        <v>0</v>
      </c>
      <c r="FQ50">
        <v>0</v>
      </c>
      <c r="FR50">
        <f t="shared" si="52"/>
        <v>0</v>
      </c>
      <c r="FS50">
        <v>0</v>
      </c>
      <c r="FV50" t="s">
        <v>26</v>
      </c>
      <c r="FW50" t="s">
        <v>27</v>
      </c>
      <c r="FX50">
        <v>95</v>
      </c>
      <c r="FY50">
        <v>65</v>
      </c>
      <c r="GA50" t="s">
        <v>3</v>
      </c>
      <c r="GD50">
        <v>0</v>
      </c>
      <c r="GF50">
        <v>1242393599</v>
      </c>
      <c r="GG50">
        <v>2</v>
      </c>
      <c r="GH50">
        <v>1</v>
      </c>
      <c r="GI50">
        <v>2</v>
      </c>
      <c r="GJ50">
        <v>0</v>
      </c>
      <c r="GK50">
        <f>ROUND(R50*(R12)/100,2)</f>
        <v>0</v>
      </c>
      <c r="GL50">
        <f t="shared" si="53"/>
        <v>0</v>
      </c>
      <c r="GM50">
        <f t="shared" si="54"/>
        <v>1768.7</v>
      </c>
      <c r="GN50">
        <f t="shared" si="55"/>
        <v>0</v>
      </c>
      <c r="GO50">
        <f t="shared" si="56"/>
        <v>1768.7</v>
      </c>
      <c r="GP50">
        <f t="shared" si="57"/>
        <v>0</v>
      </c>
      <c r="GR50">
        <v>0</v>
      </c>
      <c r="GS50">
        <v>3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59"/>
        <v>0</v>
      </c>
      <c r="HA50">
        <v>0</v>
      </c>
      <c r="HB50">
        <v>0</v>
      </c>
      <c r="IK50">
        <v>0</v>
      </c>
    </row>
    <row r="52" spans="1:245" x14ac:dyDescent="0.2">
      <c r="A52" s="2">
        <v>51</v>
      </c>
      <c r="B52" s="2">
        <f>B24</f>
        <v>1</v>
      </c>
      <c r="C52" s="2">
        <f>A24</f>
        <v>4</v>
      </c>
      <c r="D52" s="2">
        <f>ROW(A24)</f>
        <v>24</v>
      </c>
      <c r="E52" s="2"/>
      <c r="F52" s="2" t="str">
        <f>IF(F24&lt;&gt;"",F24,"")</f>
        <v>Новый раздел</v>
      </c>
      <c r="G52" s="2" t="str">
        <f>IF(G24&lt;&gt;"",G24,"")</f>
        <v>РУ 0,4 кВ №1</v>
      </c>
      <c r="H52" s="2">
        <v>0</v>
      </c>
      <c r="I52" s="2"/>
      <c r="J52" s="2"/>
      <c r="K52" s="2"/>
      <c r="L52" s="2"/>
      <c r="M52" s="2"/>
      <c r="N52" s="2"/>
      <c r="O52" s="2">
        <f t="shared" ref="O52:T52" si="60">ROUND(AB52,2)</f>
        <v>141028.85</v>
      </c>
      <c r="P52" s="2">
        <f t="shared" si="60"/>
        <v>108736.97</v>
      </c>
      <c r="Q52" s="2">
        <f t="shared" si="60"/>
        <v>763.72</v>
      </c>
      <c r="R52" s="2">
        <f t="shared" si="60"/>
        <v>224.26</v>
      </c>
      <c r="S52" s="2">
        <f t="shared" si="60"/>
        <v>31528.16</v>
      </c>
      <c r="T52" s="2">
        <f t="shared" si="60"/>
        <v>0</v>
      </c>
      <c r="U52" s="2">
        <f>AH52</f>
        <v>138.96488000000002</v>
      </c>
      <c r="V52" s="2">
        <f>AI52</f>
        <v>0.71633000000000002</v>
      </c>
      <c r="W52" s="2">
        <f>ROUND(AJ52,2)</f>
        <v>0</v>
      </c>
      <c r="X52" s="2">
        <f>ROUND(AK52,2)</f>
        <v>25256.07</v>
      </c>
      <c r="Y52" s="2">
        <f>ROUND(AL52,2)</f>
        <v>15926.94</v>
      </c>
      <c r="Z52" s="2"/>
      <c r="AA52" s="2"/>
      <c r="AB52" s="2">
        <f>ROUND(SUMIF(AA28:AA50,"=35007309",O28:O50),2)</f>
        <v>141028.85</v>
      </c>
      <c r="AC52" s="2">
        <f>ROUND(SUMIF(AA28:AA50,"=35007309",P28:P50),2)</f>
        <v>108736.97</v>
      </c>
      <c r="AD52" s="2">
        <f>ROUND(SUMIF(AA28:AA50,"=35007309",Q28:Q50),2)</f>
        <v>763.72</v>
      </c>
      <c r="AE52" s="2">
        <f>ROUND(SUMIF(AA28:AA50,"=35007309",R28:R50),2)</f>
        <v>224.26</v>
      </c>
      <c r="AF52" s="2">
        <f>ROUND(SUMIF(AA28:AA50,"=35007309",S28:S50),2)</f>
        <v>31528.16</v>
      </c>
      <c r="AG52" s="2">
        <f>ROUND(SUMIF(AA28:AA50,"=35007309",T28:T50),2)</f>
        <v>0</v>
      </c>
      <c r="AH52" s="2">
        <f>SUMIF(AA28:AA50,"=35007309",U28:U50)</f>
        <v>138.96488000000002</v>
      </c>
      <c r="AI52" s="2">
        <f>SUMIF(AA28:AA50,"=35007309",V28:V50)</f>
        <v>0.71633000000000002</v>
      </c>
      <c r="AJ52" s="2">
        <f>ROUND(SUMIF(AA28:AA50,"=35007309",W28:W50),2)</f>
        <v>0</v>
      </c>
      <c r="AK52" s="2">
        <f>ROUND(SUMIF(AA28:AA50,"=35007309",X28:X50),2)</f>
        <v>25256.07</v>
      </c>
      <c r="AL52" s="2">
        <f>ROUND(SUMIF(AA28:AA50,"=35007309",Y28:Y50),2)</f>
        <v>15926.94</v>
      </c>
      <c r="AM52" s="2"/>
      <c r="AN52" s="2"/>
      <c r="AO52" s="2">
        <f t="shared" ref="AO52:BC52" si="61">ROUND(BX52,2)</f>
        <v>8730.1299999999992</v>
      </c>
      <c r="AP52" s="2">
        <f t="shared" si="61"/>
        <v>0</v>
      </c>
      <c r="AQ52" s="2">
        <f t="shared" si="61"/>
        <v>0</v>
      </c>
      <c r="AR52" s="2">
        <f t="shared" si="61"/>
        <v>182211.86</v>
      </c>
      <c r="AS52" s="2">
        <f t="shared" si="61"/>
        <v>33267.96</v>
      </c>
      <c r="AT52" s="2">
        <f t="shared" si="61"/>
        <v>148943.9</v>
      </c>
      <c r="AU52" s="2">
        <f t="shared" si="61"/>
        <v>0</v>
      </c>
      <c r="AV52" s="2">
        <f t="shared" si="61"/>
        <v>100006.84</v>
      </c>
      <c r="AW52" s="2">
        <f t="shared" si="61"/>
        <v>108736.97</v>
      </c>
      <c r="AX52" s="2">
        <f t="shared" si="61"/>
        <v>8730.1299999999992</v>
      </c>
      <c r="AY52" s="2">
        <f t="shared" si="61"/>
        <v>100006.84</v>
      </c>
      <c r="AZ52" s="2">
        <f t="shared" si="61"/>
        <v>0</v>
      </c>
      <c r="BA52" s="2">
        <f t="shared" si="61"/>
        <v>0</v>
      </c>
      <c r="BB52" s="2">
        <f t="shared" si="61"/>
        <v>0</v>
      </c>
      <c r="BC52" s="2">
        <f t="shared" si="61"/>
        <v>0</v>
      </c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>
        <f>ROUND(SUMIF(AA28:AA50,"=35007309",FQ28:FQ50),2)</f>
        <v>8730.1299999999992</v>
      </c>
      <c r="BY52" s="2">
        <f>ROUND(SUMIF(AA28:AA50,"=35007309",FR28:FR50),2)</f>
        <v>0</v>
      </c>
      <c r="BZ52" s="2">
        <f>ROUND(SUMIF(AA28:AA50,"=35007309",GL28:GL50),2)</f>
        <v>0</v>
      </c>
      <c r="CA52" s="2">
        <f>ROUND(SUMIF(AA28:AA50,"=35007309",GM28:GM50),2)</f>
        <v>182211.86</v>
      </c>
      <c r="CB52" s="2">
        <f>ROUND(SUMIF(AA28:AA50,"=35007309",GN28:GN50),2)</f>
        <v>33267.96</v>
      </c>
      <c r="CC52" s="2">
        <f>ROUND(SUMIF(AA28:AA50,"=35007309",GO28:GO50),2)</f>
        <v>148943.9</v>
      </c>
      <c r="CD52" s="2">
        <f>ROUND(SUMIF(AA28:AA50,"=35007309",GP28:GP50),2)</f>
        <v>0</v>
      </c>
      <c r="CE52" s="2">
        <f>AC52-BX52</f>
        <v>100006.84</v>
      </c>
      <c r="CF52" s="2">
        <f>AC52-BY52</f>
        <v>108736.97</v>
      </c>
      <c r="CG52" s="2">
        <f>BX52-BZ52</f>
        <v>8730.1299999999992</v>
      </c>
      <c r="CH52" s="2">
        <f>AC52-BX52-BY52+BZ52</f>
        <v>100006.84</v>
      </c>
      <c r="CI52" s="2">
        <f>BY52-BZ52</f>
        <v>0</v>
      </c>
      <c r="CJ52" s="2">
        <f>ROUND(SUMIF(AA28:AA50,"=35007309",GX28:GX50),2)</f>
        <v>0</v>
      </c>
      <c r="CK52" s="2">
        <f>ROUND(SUMIF(AA28:AA50,"=35007309",GY28:GY50),2)</f>
        <v>0</v>
      </c>
      <c r="CL52" s="2">
        <f>ROUND(SUMIF(AA28:AA50,"=35007309",GZ28:GZ50),2)</f>
        <v>0</v>
      </c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>
        <v>0</v>
      </c>
    </row>
    <row r="54" spans="1:245" x14ac:dyDescent="0.2">
      <c r="A54" s="4">
        <v>50</v>
      </c>
      <c r="B54" s="4">
        <v>0</v>
      </c>
      <c r="C54" s="4">
        <v>0</v>
      </c>
      <c r="D54" s="4">
        <v>1</v>
      </c>
      <c r="E54" s="4">
        <v>201</v>
      </c>
      <c r="F54" s="4">
        <f>ROUND(Source!O52,O54)</f>
        <v>141028.85</v>
      </c>
      <c r="G54" s="4" t="s">
        <v>128</v>
      </c>
      <c r="H54" s="4" t="s">
        <v>129</v>
      </c>
      <c r="I54" s="4"/>
      <c r="J54" s="4"/>
      <c r="K54" s="4">
        <v>201</v>
      </c>
      <c r="L54" s="4">
        <v>1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45" x14ac:dyDescent="0.2">
      <c r="A55" s="4">
        <v>50</v>
      </c>
      <c r="B55" s="4">
        <v>0</v>
      </c>
      <c r="C55" s="4">
        <v>0</v>
      </c>
      <c r="D55" s="4">
        <v>1</v>
      </c>
      <c r="E55" s="4">
        <v>202</v>
      </c>
      <c r="F55" s="4">
        <f>ROUND(Source!P52,O55)</f>
        <v>108736.97</v>
      </c>
      <c r="G55" s="4" t="s">
        <v>130</v>
      </c>
      <c r="H55" s="4" t="s">
        <v>131</v>
      </c>
      <c r="I55" s="4"/>
      <c r="J55" s="4"/>
      <c r="K55" s="4">
        <v>202</v>
      </c>
      <c r="L55" s="4">
        <v>2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45" x14ac:dyDescent="0.2">
      <c r="A56" s="4">
        <v>50</v>
      </c>
      <c r="B56" s="4">
        <v>0</v>
      </c>
      <c r="C56" s="4">
        <v>0</v>
      </c>
      <c r="D56" s="4">
        <v>1</v>
      </c>
      <c r="E56" s="4">
        <v>30781752</v>
      </c>
      <c r="F56" s="4">
        <f>ROUND(Source!AO52,O56)</f>
        <v>8730.1299999999992</v>
      </c>
      <c r="G56" s="4" t="s">
        <v>132</v>
      </c>
      <c r="H56" s="4" t="s">
        <v>133</v>
      </c>
      <c r="I56" s="4"/>
      <c r="J56" s="4"/>
      <c r="K56" s="4">
        <v>222</v>
      </c>
      <c r="L56" s="4">
        <v>3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45" x14ac:dyDescent="0.2">
      <c r="A57" s="4">
        <v>50</v>
      </c>
      <c r="B57" s="4">
        <v>0</v>
      </c>
      <c r="C57" s="4">
        <v>0</v>
      </c>
      <c r="D57" s="4">
        <v>1</v>
      </c>
      <c r="E57" s="4">
        <v>225</v>
      </c>
      <c r="F57" s="4">
        <f>ROUND(Source!AV52,O57)</f>
        <v>100006.84</v>
      </c>
      <c r="G57" s="4" t="s">
        <v>134</v>
      </c>
      <c r="H57" s="4" t="s">
        <v>135</v>
      </c>
      <c r="I57" s="4"/>
      <c r="J57" s="4"/>
      <c r="K57" s="4">
        <v>225</v>
      </c>
      <c r="L57" s="4">
        <v>4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45" x14ac:dyDescent="0.2">
      <c r="A58" s="4">
        <v>50</v>
      </c>
      <c r="B58" s="4">
        <v>0</v>
      </c>
      <c r="C58" s="4">
        <v>0</v>
      </c>
      <c r="D58" s="4">
        <v>1</v>
      </c>
      <c r="E58" s="4">
        <v>226</v>
      </c>
      <c r="F58" s="4">
        <f>ROUND(Source!AW52,O58)</f>
        <v>108736.97</v>
      </c>
      <c r="G58" s="4" t="s">
        <v>136</v>
      </c>
      <c r="H58" s="4" t="s">
        <v>137</v>
      </c>
      <c r="I58" s="4"/>
      <c r="J58" s="4"/>
      <c r="K58" s="4">
        <v>226</v>
      </c>
      <c r="L58" s="4">
        <v>5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45" x14ac:dyDescent="0.2">
      <c r="A59" s="4">
        <v>50</v>
      </c>
      <c r="B59" s="4">
        <v>0</v>
      </c>
      <c r="C59" s="4">
        <v>0</v>
      </c>
      <c r="D59" s="4">
        <v>1</v>
      </c>
      <c r="E59" s="4">
        <v>227</v>
      </c>
      <c r="F59" s="4">
        <f>ROUND(Source!AX52,O59)</f>
        <v>8730.1299999999992</v>
      </c>
      <c r="G59" s="4" t="s">
        <v>138</v>
      </c>
      <c r="H59" s="4" t="s">
        <v>139</v>
      </c>
      <c r="I59" s="4"/>
      <c r="J59" s="4"/>
      <c r="K59" s="4">
        <v>227</v>
      </c>
      <c r="L59" s="4">
        <v>6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/>
    </row>
    <row r="60" spans="1:245" x14ac:dyDescent="0.2">
      <c r="A60" s="4">
        <v>50</v>
      </c>
      <c r="B60" s="4">
        <v>0</v>
      </c>
      <c r="C60" s="4">
        <v>0</v>
      </c>
      <c r="D60" s="4">
        <v>1</v>
      </c>
      <c r="E60" s="4">
        <v>228</v>
      </c>
      <c r="F60" s="4">
        <f>ROUND(Source!AY52,O60)</f>
        <v>100006.84</v>
      </c>
      <c r="G60" s="4" t="s">
        <v>140</v>
      </c>
      <c r="H60" s="4" t="s">
        <v>141</v>
      </c>
      <c r="I60" s="4"/>
      <c r="J60" s="4"/>
      <c r="K60" s="4">
        <v>228</v>
      </c>
      <c r="L60" s="4">
        <v>7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45" x14ac:dyDescent="0.2">
      <c r="A61" s="4">
        <v>50</v>
      </c>
      <c r="B61" s="4">
        <v>0</v>
      </c>
      <c r="C61" s="4">
        <v>0</v>
      </c>
      <c r="D61" s="4">
        <v>1</v>
      </c>
      <c r="E61" s="4">
        <v>216</v>
      </c>
      <c r="F61" s="4">
        <f>ROUND(Source!AP52,O61)</f>
        <v>0</v>
      </c>
      <c r="G61" s="4" t="s">
        <v>142</v>
      </c>
      <c r="H61" s="4" t="s">
        <v>143</v>
      </c>
      <c r="I61" s="4"/>
      <c r="J61" s="4"/>
      <c r="K61" s="4">
        <v>216</v>
      </c>
      <c r="L61" s="4">
        <v>8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45" x14ac:dyDescent="0.2">
      <c r="A62" s="4">
        <v>50</v>
      </c>
      <c r="B62" s="4">
        <v>0</v>
      </c>
      <c r="C62" s="4">
        <v>0</v>
      </c>
      <c r="D62" s="4">
        <v>1</v>
      </c>
      <c r="E62" s="4">
        <v>223</v>
      </c>
      <c r="F62" s="4">
        <f>ROUND(Source!AQ52,O62)</f>
        <v>0</v>
      </c>
      <c r="G62" s="4" t="s">
        <v>144</v>
      </c>
      <c r="H62" s="4" t="s">
        <v>145</v>
      </c>
      <c r="I62" s="4"/>
      <c r="J62" s="4"/>
      <c r="K62" s="4">
        <v>223</v>
      </c>
      <c r="L62" s="4">
        <v>9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45" x14ac:dyDescent="0.2">
      <c r="A63" s="4">
        <v>50</v>
      </c>
      <c r="B63" s="4">
        <v>0</v>
      </c>
      <c r="C63" s="4">
        <v>0</v>
      </c>
      <c r="D63" s="4">
        <v>1</v>
      </c>
      <c r="E63" s="4">
        <v>229</v>
      </c>
      <c r="F63" s="4">
        <f>ROUND(Source!AZ52,O63)</f>
        <v>0</v>
      </c>
      <c r="G63" s="4" t="s">
        <v>146</v>
      </c>
      <c r="H63" s="4" t="s">
        <v>147</v>
      </c>
      <c r="I63" s="4"/>
      <c r="J63" s="4"/>
      <c r="K63" s="4">
        <v>229</v>
      </c>
      <c r="L63" s="4">
        <v>10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45" x14ac:dyDescent="0.2">
      <c r="A64" s="4">
        <v>50</v>
      </c>
      <c r="B64" s="4">
        <v>0</v>
      </c>
      <c r="C64" s="4">
        <v>0</v>
      </c>
      <c r="D64" s="4">
        <v>1</v>
      </c>
      <c r="E64" s="4">
        <v>203</v>
      </c>
      <c r="F64" s="4">
        <f>ROUND(Source!Q52,O64)</f>
        <v>763.72</v>
      </c>
      <c r="G64" s="4" t="s">
        <v>148</v>
      </c>
      <c r="H64" s="4" t="s">
        <v>149</v>
      </c>
      <c r="I64" s="4"/>
      <c r="J64" s="4"/>
      <c r="K64" s="4">
        <v>203</v>
      </c>
      <c r="L64" s="4">
        <v>11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23" x14ac:dyDescent="0.2">
      <c r="A65" s="4">
        <v>50</v>
      </c>
      <c r="B65" s="4">
        <v>0</v>
      </c>
      <c r="C65" s="4">
        <v>0</v>
      </c>
      <c r="D65" s="4">
        <v>1</v>
      </c>
      <c r="E65" s="4">
        <v>231</v>
      </c>
      <c r="F65" s="4">
        <f>ROUND(Source!BB52,O65)</f>
        <v>0</v>
      </c>
      <c r="G65" s="4" t="s">
        <v>150</v>
      </c>
      <c r="H65" s="4" t="s">
        <v>151</v>
      </c>
      <c r="I65" s="4"/>
      <c r="J65" s="4"/>
      <c r="K65" s="4">
        <v>231</v>
      </c>
      <c r="L65" s="4">
        <v>12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23" x14ac:dyDescent="0.2">
      <c r="A66" s="4">
        <v>50</v>
      </c>
      <c r="B66" s="4">
        <v>0</v>
      </c>
      <c r="C66" s="4">
        <v>0</v>
      </c>
      <c r="D66" s="4">
        <v>1</v>
      </c>
      <c r="E66" s="4">
        <v>204</v>
      </c>
      <c r="F66" s="4">
        <f>ROUND(Source!R52,O66)</f>
        <v>224.26</v>
      </c>
      <c r="G66" s="4" t="s">
        <v>152</v>
      </c>
      <c r="H66" s="4" t="s">
        <v>153</v>
      </c>
      <c r="I66" s="4"/>
      <c r="J66" s="4"/>
      <c r="K66" s="4">
        <v>204</v>
      </c>
      <c r="L66" s="4">
        <v>13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/>
    </row>
    <row r="67" spans="1:23" x14ac:dyDescent="0.2">
      <c r="A67" s="4">
        <v>50</v>
      </c>
      <c r="B67" s="4">
        <v>0</v>
      </c>
      <c r="C67" s="4">
        <v>0</v>
      </c>
      <c r="D67" s="4">
        <v>1</v>
      </c>
      <c r="E67" s="4">
        <v>205</v>
      </c>
      <c r="F67" s="4">
        <f>ROUND(Source!S52,O67)</f>
        <v>31528.16</v>
      </c>
      <c r="G67" s="4" t="s">
        <v>154</v>
      </c>
      <c r="H67" s="4" t="s">
        <v>155</v>
      </c>
      <c r="I67" s="4"/>
      <c r="J67" s="4"/>
      <c r="K67" s="4">
        <v>205</v>
      </c>
      <c r="L67" s="4">
        <v>14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/>
    </row>
    <row r="68" spans="1:23" x14ac:dyDescent="0.2">
      <c r="A68" s="4">
        <v>50</v>
      </c>
      <c r="B68" s="4">
        <v>0</v>
      </c>
      <c r="C68" s="4">
        <v>0</v>
      </c>
      <c r="D68" s="4">
        <v>1</v>
      </c>
      <c r="E68" s="4">
        <v>232</v>
      </c>
      <c r="F68" s="4">
        <f>ROUND(Source!BC52,O68)</f>
        <v>0</v>
      </c>
      <c r="G68" s="4" t="s">
        <v>156</v>
      </c>
      <c r="H68" s="4" t="s">
        <v>157</v>
      </c>
      <c r="I68" s="4"/>
      <c r="J68" s="4"/>
      <c r="K68" s="4">
        <v>232</v>
      </c>
      <c r="L68" s="4">
        <v>15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/>
    </row>
    <row r="69" spans="1:23" x14ac:dyDescent="0.2">
      <c r="A69" s="4">
        <v>50</v>
      </c>
      <c r="B69" s="4">
        <v>0</v>
      </c>
      <c r="C69" s="4">
        <v>0</v>
      </c>
      <c r="D69" s="4">
        <v>1</v>
      </c>
      <c r="E69" s="4">
        <v>214</v>
      </c>
      <c r="F69" s="4">
        <f>ROUND(Source!AS52,O69)</f>
        <v>33267.96</v>
      </c>
      <c r="G69" s="4" t="s">
        <v>158</v>
      </c>
      <c r="H69" s="4" t="s">
        <v>159</v>
      </c>
      <c r="I69" s="4"/>
      <c r="J69" s="4"/>
      <c r="K69" s="4">
        <v>214</v>
      </c>
      <c r="L69" s="4">
        <v>16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/>
    </row>
    <row r="70" spans="1:23" x14ac:dyDescent="0.2">
      <c r="A70" s="4">
        <v>50</v>
      </c>
      <c r="B70" s="4">
        <v>0</v>
      </c>
      <c r="C70" s="4">
        <v>0</v>
      </c>
      <c r="D70" s="4">
        <v>1</v>
      </c>
      <c r="E70" s="4">
        <v>215</v>
      </c>
      <c r="F70" s="4">
        <f>ROUND(Source!AT52,O70)</f>
        <v>148943.9</v>
      </c>
      <c r="G70" s="4" t="s">
        <v>160</v>
      </c>
      <c r="H70" s="4" t="s">
        <v>161</v>
      </c>
      <c r="I70" s="4"/>
      <c r="J70" s="4"/>
      <c r="K70" s="4">
        <v>215</v>
      </c>
      <c r="L70" s="4">
        <v>17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/>
    </row>
    <row r="71" spans="1:23" x14ac:dyDescent="0.2">
      <c r="A71" s="4">
        <v>50</v>
      </c>
      <c r="B71" s="4">
        <v>0</v>
      </c>
      <c r="C71" s="4">
        <v>0</v>
      </c>
      <c r="D71" s="4">
        <v>1</v>
      </c>
      <c r="E71" s="4">
        <v>217</v>
      </c>
      <c r="F71" s="4">
        <f>ROUND(Source!AU52,O71)</f>
        <v>0</v>
      </c>
      <c r="G71" s="4" t="s">
        <v>162</v>
      </c>
      <c r="H71" s="4" t="s">
        <v>163</v>
      </c>
      <c r="I71" s="4"/>
      <c r="J71" s="4"/>
      <c r="K71" s="4">
        <v>217</v>
      </c>
      <c r="L71" s="4">
        <v>18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/>
    </row>
    <row r="72" spans="1:23" x14ac:dyDescent="0.2">
      <c r="A72" s="4">
        <v>50</v>
      </c>
      <c r="B72" s="4">
        <v>0</v>
      </c>
      <c r="C72" s="4">
        <v>0</v>
      </c>
      <c r="D72" s="4">
        <v>1</v>
      </c>
      <c r="E72" s="4">
        <v>230</v>
      </c>
      <c r="F72" s="4">
        <f>ROUND(Source!BA52,O72)</f>
        <v>0</v>
      </c>
      <c r="G72" s="4" t="s">
        <v>164</v>
      </c>
      <c r="H72" s="4" t="s">
        <v>165</v>
      </c>
      <c r="I72" s="4"/>
      <c r="J72" s="4"/>
      <c r="K72" s="4">
        <v>230</v>
      </c>
      <c r="L72" s="4">
        <v>19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/>
    </row>
    <row r="73" spans="1:23" x14ac:dyDescent="0.2">
      <c r="A73" s="4">
        <v>50</v>
      </c>
      <c r="B73" s="4">
        <v>0</v>
      </c>
      <c r="C73" s="4">
        <v>0</v>
      </c>
      <c r="D73" s="4">
        <v>1</v>
      </c>
      <c r="E73" s="4">
        <v>206</v>
      </c>
      <c r="F73" s="4">
        <f>ROUND(Source!T52,O73)</f>
        <v>0</v>
      </c>
      <c r="G73" s="4" t="s">
        <v>166</v>
      </c>
      <c r="H73" s="4" t="s">
        <v>167</v>
      </c>
      <c r="I73" s="4"/>
      <c r="J73" s="4"/>
      <c r="K73" s="4">
        <v>206</v>
      </c>
      <c r="L73" s="4">
        <v>20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/>
    </row>
    <row r="74" spans="1:23" x14ac:dyDescent="0.2">
      <c r="A74" s="4">
        <v>50</v>
      </c>
      <c r="B74" s="4">
        <v>0</v>
      </c>
      <c r="C74" s="4">
        <v>0</v>
      </c>
      <c r="D74" s="4">
        <v>1</v>
      </c>
      <c r="E74" s="4">
        <v>207</v>
      </c>
      <c r="F74" s="4">
        <f>Source!U52</f>
        <v>138.96488000000002</v>
      </c>
      <c r="G74" s="4" t="s">
        <v>168</v>
      </c>
      <c r="H74" s="4" t="s">
        <v>169</v>
      </c>
      <c r="I74" s="4"/>
      <c r="J74" s="4"/>
      <c r="K74" s="4">
        <v>207</v>
      </c>
      <c r="L74" s="4">
        <v>21</v>
      </c>
      <c r="M74" s="4">
        <v>3</v>
      </c>
      <c r="N74" s="4" t="s">
        <v>3</v>
      </c>
      <c r="O74" s="4">
        <v>-1</v>
      </c>
      <c r="P74" s="4"/>
      <c r="Q74" s="4"/>
      <c r="R74" s="4"/>
      <c r="S74" s="4"/>
      <c r="T74" s="4"/>
      <c r="U74" s="4"/>
      <c r="V74" s="4"/>
      <c r="W74" s="4"/>
    </row>
    <row r="75" spans="1:23" x14ac:dyDescent="0.2">
      <c r="A75" s="4">
        <v>50</v>
      </c>
      <c r="B75" s="4">
        <v>0</v>
      </c>
      <c r="C75" s="4">
        <v>0</v>
      </c>
      <c r="D75" s="4">
        <v>1</v>
      </c>
      <c r="E75" s="4">
        <v>208</v>
      </c>
      <c r="F75" s="4">
        <f>Source!V52</f>
        <v>0.71633000000000002</v>
      </c>
      <c r="G75" s="4" t="s">
        <v>170</v>
      </c>
      <c r="H75" s="4" t="s">
        <v>171</v>
      </c>
      <c r="I75" s="4"/>
      <c r="J75" s="4"/>
      <c r="K75" s="4">
        <v>208</v>
      </c>
      <c r="L75" s="4">
        <v>22</v>
      </c>
      <c r="M75" s="4">
        <v>3</v>
      </c>
      <c r="N75" s="4" t="s">
        <v>3</v>
      </c>
      <c r="O75" s="4">
        <v>-1</v>
      </c>
      <c r="P75" s="4"/>
      <c r="Q75" s="4"/>
      <c r="R75" s="4"/>
      <c r="S75" s="4"/>
      <c r="T75" s="4"/>
      <c r="U75" s="4"/>
      <c r="V75" s="4"/>
      <c r="W75" s="4"/>
    </row>
    <row r="76" spans="1:23" x14ac:dyDescent="0.2">
      <c r="A76" s="4">
        <v>50</v>
      </c>
      <c r="B76" s="4">
        <v>0</v>
      </c>
      <c r="C76" s="4">
        <v>0</v>
      </c>
      <c r="D76" s="4">
        <v>1</v>
      </c>
      <c r="E76" s="4">
        <v>209</v>
      </c>
      <c r="F76" s="4">
        <f>ROUND(Source!W52,O76)</f>
        <v>0</v>
      </c>
      <c r="G76" s="4" t="s">
        <v>172</v>
      </c>
      <c r="H76" s="4" t="s">
        <v>173</v>
      </c>
      <c r="I76" s="4"/>
      <c r="J76" s="4"/>
      <c r="K76" s="4">
        <v>209</v>
      </c>
      <c r="L76" s="4">
        <v>23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/>
    </row>
    <row r="77" spans="1:23" x14ac:dyDescent="0.2">
      <c r="A77" s="4">
        <v>50</v>
      </c>
      <c r="B77" s="4">
        <v>0</v>
      </c>
      <c r="C77" s="4">
        <v>0</v>
      </c>
      <c r="D77" s="4">
        <v>1</v>
      </c>
      <c r="E77" s="4">
        <v>210</v>
      </c>
      <c r="F77" s="4">
        <f>ROUND(Source!X52,O77)</f>
        <v>25256.07</v>
      </c>
      <c r="G77" s="4" t="s">
        <v>174</v>
      </c>
      <c r="H77" s="4" t="s">
        <v>175</v>
      </c>
      <c r="I77" s="4"/>
      <c r="J77" s="4"/>
      <c r="K77" s="4">
        <v>210</v>
      </c>
      <c r="L77" s="4">
        <v>24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/>
    </row>
    <row r="78" spans="1:23" x14ac:dyDescent="0.2">
      <c r="A78" s="4">
        <v>50</v>
      </c>
      <c r="B78" s="4">
        <v>0</v>
      </c>
      <c r="C78" s="4">
        <v>0</v>
      </c>
      <c r="D78" s="4">
        <v>1</v>
      </c>
      <c r="E78" s="4">
        <v>211</v>
      </c>
      <c r="F78" s="4">
        <f>ROUND(Source!Y52,O78)</f>
        <v>15926.94</v>
      </c>
      <c r="G78" s="4" t="s">
        <v>176</v>
      </c>
      <c r="H78" s="4" t="s">
        <v>177</v>
      </c>
      <c r="I78" s="4"/>
      <c r="J78" s="4"/>
      <c r="K78" s="4">
        <v>211</v>
      </c>
      <c r="L78" s="4">
        <v>25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/>
    </row>
    <row r="79" spans="1:23" x14ac:dyDescent="0.2">
      <c r="A79" s="4">
        <v>50</v>
      </c>
      <c r="B79" s="4">
        <v>0</v>
      </c>
      <c r="C79" s="4">
        <v>0</v>
      </c>
      <c r="D79" s="4">
        <v>1</v>
      </c>
      <c r="E79" s="4">
        <v>224</v>
      </c>
      <c r="F79" s="4">
        <f>ROUND(Source!AR52,O79)</f>
        <v>182211.86</v>
      </c>
      <c r="G79" s="4" t="s">
        <v>178</v>
      </c>
      <c r="H79" s="4" t="s">
        <v>179</v>
      </c>
      <c r="I79" s="4"/>
      <c r="J79" s="4"/>
      <c r="K79" s="4">
        <v>224</v>
      </c>
      <c r="L79" s="4">
        <v>26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1" spans="1:245" x14ac:dyDescent="0.2">
      <c r="A81" s="1">
        <v>4</v>
      </c>
      <c r="B81" s="1">
        <v>1</v>
      </c>
      <c r="C81" s="1"/>
      <c r="D81" s="1">
        <f>ROW(A92)</f>
        <v>92</v>
      </c>
      <c r="E81" s="1"/>
      <c r="F81" s="1" t="s">
        <v>16</v>
      </c>
      <c r="G81" s="1" t="s">
        <v>180</v>
      </c>
      <c r="H81" s="1" t="s">
        <v>3</v>
      </c>
      <c r="I81" s="1">
        <v>0</v>
      </c>
      <c r="J81" s="1"/>
      <c r="K81" s="1">
        <v>0</v>
      </c>
      <c r="L81" s="1"/>
      <c r="M81" s="1"/>
      <c r="N81" s="1"/>
      <c r="O81" s="1"/>
      <c r="P81" s="1"/>
      <c r="Q81" s="1"/>
      <c r="R81" s="1"/>
      <c r="S81" s="1"/>
      <c r="T81" s="1"/>
      <c r="U81" s="1" t="s">
        <v>3</v>
      </c>
      <c r="V81" s="1">
        <v>0</v>
      </c>
      <c r="W81" s="1"/>
      <c r="X81" s="1"/>
      <c r="Y81" s="1"/>
      <c r="Z81" s="1"/>
      <c r="AA81" s="1"/>
      <c r="AB81" s="1" t="s">
        <v>3</v>
      </c>
      <c r="AC81" s="1" t="s">
        <v>3</v>
      </c>
      <c r="AD81" s="1" t="s">
        <v>3</v>
      </c>
      <c r="AE81" s="1" t="s">
        <v>3</v>
      </c>
      <c r="AF81" s="1" t="s">
        <v>3</v>
      </c>
      <c r="AG81" s="1" t="s">
        <v>3</v>
      </c>
      <c r="AH81" s="1"/>
      <c r="AI81" s="1"/>
      <c r="AJ81" s="1"/>
      <c r="AK81" s="1"/>
      <c r="AL81" s="1"/>
      <c r="AM81" s="1"/>
      <c r="AN81" s="1"/>
      <c r="AO81" s="1"/>
      <c r="AP81" s="1" t="s">
        <v>3</v>
      </c>
      <c r="AQ81" s="1" t="s">
        <v>3</v>
      </c>
      <c r="AR81" s="1" t="s">
        <v>3</v>
      </c>
      <c r="AS81" s="1"/>
      <c r="AT81" s="1"/>
      <c r="AU81" s="1"/>
      <c r="AV81" s="1"/>
      <c r="AW81" s="1"/>
      <c r="AX81" s="1"/>
      <c r="AY81" s="1"/>
      <c r="AZ81" s="1" t="s">
        <v>3</v>
      </c>
      <c r="BA81" s="1"/>
      <c r="BB81" s="1" t="s">
        <v>3</v>
      </c>
      <c r="BC81" s="1" t="s">
        <v>3</v>
      </c>
      <c r="BD81" s="1" t="s">
        <v>3</v>
      </c>
      <c r="BE81" s="1" t="s">
        <v>3</v>
      </c>
      <c r="BF81" s="1" t="s">
        <v>3</v>
      </c>
      <c r="BG81" s="1" t="s">
        <v>3</v>
      </c>
      <c r="BH81" s="1" t="s">
        <v>3</v>
      </c>
      <c r="BI81" s="1" t="s">
        <v>3</v>
      </c>
      <c r="BJ81" s="1" t="s">
        <v>3</v>
      </c>
      <c r="BK81" s="1" t="s">
        <v>3</v>
      </c>
      <c r="BL81" s="1" t="s">
        <v>3</v>
      </c>
      <c r="BM81" s="1" t="s">
        <v>3</v>
      </c>
      <c r="BN81" s="1" t="s">
        <v>3</v>
      </c>
      <c r="BO81" s="1" t="s">
        <v>3</v>
      </c>
      <c r="BP81" s="1" t="s">
        <v>3</v>
      </c>
      <c r="BQ81" s="1"/>
      <c r="BR81" s="1"/>
      <c r="BS81" s="1"/>
      <c r="BT81" s="1"/>
      <c r="BU81" s="1"/>
      <c r="BV81" s="1"/>
      <c r="BW81" s="1"/>
      <c r="BX81" s="1">
        <v>0</v>
      </c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>
        <v>0</v>
      </c>
    </row>
    <row r="83" spans="1:245" x14ac:dyDescent="0.2">
      <c r="A83" s="2">
        <v>52</v>
      </c>
      <c r="B83" s="2">
        <f t="shared" ref="B83:G83" si="62">B92</f>
        <v>1</v>
      </c>
      <c r="C83" s="2">
        <f t="shared" si="62"/>
        <v>4</v>
      </c>
      <c r="D83" s="2">
        <f t="shared" si="62"/>
        <v>81</v>
      </c>
      <c r="E83" s="2">
        <f t="shared" si="62"/>
        <v>0</v>
      </c>
      <c r="F83" s="2" t="str">
        <f t="shared" si="62"/>
        <v>Новый раздел</v>
      </c>
      <c r="G83" s="2" t="str">
        <f t="shared" si="62"/>
        <v>Ру 0,4 кВ №2</v>
      </c>
      <c r="H83" s="2"/>
      <c r="I83" s="2"/>
      <c r="J83" s="2"/>
      <c r="K83" s="2"/>
      <c r="L83" s="2"/>
      <c r="M83" s="2"/>
      <c r="N83" s="2"/>
      <c r="O83" s="2">
        <f t="shared" ref="O83:AT83" si="63">O92</f>
        <v>7319.23</v>
      </c>
      <c r="P83" s="2">
        <f t="shared" si="63"/>
        <v>5421.51</v>
      </c>
      <c r="Q83" s="2">
        <f t="shared" si="63"/>
        <v>53.33</v>
      </c>
      <c r="R83" s="2">
        <f t="shared" si="63"/>
        <v>14.89</v>
      </c>
      <c r="S83" s="2">
        <f t="shared" si="63"/>
        <v>1844.39</v>
      </c>
      <c r="T83" s="2">
        <f t="shared" si="63"/>
        <v>0</v>
      </c>
      <c r="U83" s="2">
        <f t="shared" si="63"/>
        <v>8.0267999999999997</v>
      </c>
      <c r="V83" s="2">
        <f t="shared" si="63"/>
        <v>4.8000000000000001E-2</v>
      </c>
      <c r="W83" s="2">
        <f t="shared" si="63"/>
        <v>0</v>
      </c>
      <c r="X83" s="2">
        <f t="shared" si="63"/>
        <v>1506.02</v>
      </c>
      <c r="Y83" s="2">
        <f t="shared" si="63"/>
        <v>966.82</v>
      </c>
      <c r="Z83" s="2">
        <f t="shared" si="63"/>
        <v>0</v>
      </c>
      <c r="AA83" s="2">
        <f t="shared" si="63"/>
        <v>0</v>
      </c>
      <c r="AB83" s="2">
        <f t="shared" si="63"/>
        <v>7319.23</v>
      </c>
      <c r="AC83" s="2">
        <f t="shared" si="63"/>
        <v>5421.51</v>
      </c>
      <c r="AD83" s="2">
        <f t="shared" si="63"/>
        <v>53.33</v>
      </c>
      <c r="AE83" s="2">
        <f t="shared" si="63"/>
        <v>14.89</v>
      </c>
      <c r="AF83" s="2">
        <f t="shared" si="63"/>
        <v>1844.39</v>
      </c>
      <c r="AG83" s="2">
        <f t="shared" si="63"/>
        <v>0</v>
      </c>
      <c r="AH83" s="2">
        <f t="shared" si="63"/>
        <v>8.0267999999999997</v>
      </c>
      <c r="AI83" s="2">
        <f t="shared" si="63"/>
        <v>4.8000000000000001E-2</v>
      </c>
      <c r="AJ83" s="2">
        <f t="shared" si="63"/>
        <v>0</v>
      </c>
      <c r="AK83" s="2">
        <f t="shared" si="63"/>
        <v>1506.02</v>
      </c>
      <c r="AL83" s="2">
        <f t="shared" si="63"/>
        <v>966.82</v>
      </c>
      <c r="AM83" s="2">
        <f t="shared" si="63"/>
        <v>0</v>
      </c>
      <c r="AN83" s="2">
        <f t="shared" si="63"/>
        <v>0</v>
      </c>
      <c r="AO83" s="2">
        <f t="shared" si="63"/>
        <v>0</v>
      </c>
      <c r="AP83" s="2">
        <f t="shared" si="63"/>
        <v>0</v>
      </c>
      <c r="AQ83" s="2">
        <f t="shared" si="63"/>
        <v>0</v>
      </c>
      <c r="AR83" s="2">
        <f t="shared" si="63"/>
        <v>9792.07</v>
      </c>
      <c r="AS83" s="2">
        <f t="shared" si="63"/>
        <v>0</v>
      </c>
      <c r="AT83" s="2">
        <f t="shared" si="63"/>
        <v>9792.07</v>
      </c>
      <c r="AU83" s="2">
        <f t="shared" ref="AU83:BZ83" si="64">AU92</f>
        <v>0</v>
      </c>
      <c r="AV83" s="2">
        <f t="shared" si="64"/>
        <v>5421.51</v>
      </c>
      <c r="AW83" s="2">
        <f t="shared" si="64"/>
        <v>5421.51</v>
      </c>
      <c r="AX83" s="2">
        <f t="shared" si="64"/>
        <v>0</v>
      </c>
      <c r="AY83" s="2">
        <f t="shared" si="64"/>
        <v>5421.51</v>
      </c>
      <c r="AZ83" s="2">
        <f t="shared" si="64"/>
        <v>0</v>
      </c>
      <c r="BA83" s="2">
        <f t="shared" si="64"/>
        <v>0</v>
      </c>
      <c r="BB83" s="2">
        <f t="shared" si="64"/>
        <v>0</v>
      </c>
      <c r="BC83" s="2">
        <f t="shared" si="64"/>
        <v>0</v>
      </c>
      <c r="BD83" s="2">
        <f t="shared" si="64"/>
        <v>0</v>
      </c>
      <c r="BE83" s="2">
        <f t="shared" si="64"/>
        <v>0</v>
      </c>
      <c r="BF83" s="2">
        <f t="shared" si="64"/>
        <v>0</v>
      </c>
      <c r="BG83" s="2">
        <f t="shared" si="64"/>
        <v>0</v>
      </c>
      <c r="BH83" s="2">
        <f t="shared" si="64"/>
        <v>0</v>
      </c>
      <c r="BI83" s="2">
        <f t="shared" si="64"/>
        <v>0</v>
      </c>
      <c r="BJ83" s="2">
        <f t="shared" si="64"/>
        <v>0</v>
      </c>
      <c r="BK83" s="2">
        <f t="shared" si="64"/>
        <v>0</v>
      </c>
      <c r="BL83" s="2">
        <f t="shared" si="64"/>
        <v>0</v>
      </c>
      <c r="BM83" s="2">
        <f t="shared" si="64"/>
        <v>0</v>
      </c>
      <c r="BN83" s="2">
        <f t="shared" si="64"/>
        <v>0</v>
      </c>
      <c r="BO83" s="2">
        <f t="shared" si="64"/>
        <v>0</v>
      </c>
      <c r="BP83" s="2">
        <f t="shared" si="64"/>
        <v>0</v>
      </c>
      <c r="BQ83" s="2">
        <f t="shared" si="64"/>
        <v>0</v>
      </c>
      <c r="BR83" s="2">
        <f t="shared" si="64"/>
        <v>0</v>
      </c>
      <c r="BS83" s="2">
        <f t="shared" si="64"/>
        <v>0</v>
      </c>
      <c r="BT83" s="2">
        <f t="shared" si="64"/>
        <v>0</v>
      </c>
      <c r="BU83" s="2">
        <f t="shared" si="64"/>
        <v>0</v>
      </c>
      <c r="BV83" s="2">
        <f t="shared" si="64"/>
        <v>0</v>
      </c>
      <c r="BW83" s="2">
        <f t="shared" si="64"/>
        <v>0</v>
      </c>
      <c r="BX83" s="2">
        <f t="shared" si="64"/>
        <v>0</v>
      </c>
      <c r="BY83" s="2">
        <f t="shared" si="64"/>
        <v>0</v>
      </c>
      <c r="BZ83" s="2">
        <f t="shared" si="64"/>
        <v>0</v>
      </c>
      <c r="CA83" s="2">
        <f t="shared" ref="CA83:DF83" si="65">CA92</f>
        <v>9792.07</v>
      </c>
      <c r="CB83" s="2">
        <f t="shared" si="65"/>
        <v>0</v>
      </c>
      <c r="CC83" s="2">
        <f t="shared" si="65"/>
        <v>9792.07</v>
      </c>
      <c r="CD83" s="2">
        <f t="shared" si="65"/>
        <v>0</v>
      </c>
      <c r="CE83" s="2">
        <f t="shared" si="65"/>
        <v>5421.51</v>
      </c>
      <c r="CF83" s="2">
        <f t="shared" si="65"/>
        <v>5421.51</v>
      </c>
      <c r="CG83" s="2">
        <f t="shared" si="65"/>
        <v>0</v>
      </c>
      <c r="CH83" s="2">
        <f t="shared" si="65"/>
        <v>5421.51</v>
      </c>
      <c r="CI83" s="2">
        <f t="shared" si="65"/>
        <v>0</v>
      </c>
      <c r="CJ83" s="2">
        <f t="shared" si="65"/>
        <v>0</v>
      </c>
      <c r="CK83" s="2">
        <f t="shared" si="65"/>
        <v>0</v>
      </c>
      <c r="CL83" s="2">
        <f t="shared" si="65"/>
        <v>0</v>
      </c>
      <c r="CM83" s="2">
        <f t="shared" si="65"/>
        <v>0</v>
      </c>
      <c r="CN83" s="2">
        <f t="shared" si="65"/>
        <v>0</v>
      </c>
      <c r="CO83" s="2">
        <f t="shared" si="65"/>
        <v>0</v>
      </c>
      <c r="CP83" s="2">
        <f t="shared" si="65"/>
        <v>0</v>
      </c>
      <c r="CQ83" s="2">
        <f t="shared" si="65"/>
        <v>0</v>
      </c>
      <c r="CR83" s="2">
        <f t="shared" si="65"/>
        <v>0</v>
      </c>
      <c r="CS83" s="2">
        <f t="shared" si="65"/>
        <v>0</v>
      </c>
      <c r="CT83" s="2">
        <f t="shared" si="65"/>
        <v>0</v>
      </c>
      <c r="CU83" s="2">
        <f t="shared" si="65"/>
        <v>0</v>
      </c>
      <c r="CV83" s="2">
        <f t="shared" si="65"/>
        <v>0</v>
      </c>
      <c r="CW83" s="2">
        <f t="shared" si="65"/>
        <v>0</v>
      </c>
      <c r="CX83" s="2">
        <f t="shared" si="65"/>
        <v>0</v>
      </c>
      <c r="CY83" s="2">
        <f t="shared" si="65"/>
        <v>0</v>
      </c>
      <c r="CZ83" s="2">
        <f t="shared" si="65"/>
        <v>0</v>
      </c>
      <c r="DA83" s="2">
        <f t="shared" si="65"/>
        <v>0</v>
      </c>
      <c r="DB83" s="2">
        <f t="shared" si="65"/>
        <v>0</v>
      </c>
      <c r="DC83" s="2">
        <f t="shared" si="65"/>
        <v>0</v>
      </c>
      <c r="DD83" s="2">
        <f t="shared" si="65"/>
        <v>0</v>
      </c>
      <c r="DE83" s="2">
        <f t="shared" si="65"/>
        <v>0</v>
      </c>
      <c r="DF83" s="2">
        <f t="shared" si="65"/>
        <v>0</v>
      </c>
      <c r="DG83" s="3">
        <f t="shared" ref="DG83:EL83" si="66">DG92</f>
        <v>0</v>
      </c>
      <c r="DH83" s="3">
        <f t="shared" si="66"/>
        <v>0</v>
      </c>
      <c r="DI83" s="3">
        <f t="shared" si="66"/>
        <v>0</v>
      </c>
      <c r="DJ83" s="3">
        <f t="shared" si="66"/>
        <v>0</v>
      </c>
      <c r="DK83" s="3">
        <f t="shared" si="66"/>
        <v>0</v>
      </c>
      <c r="DL83" s="3">
        <f t="shared" si="66"/>
        <v>0</v>
      </c>
      <c r="DM83" s="3">
        <f t="shared" si="66"/>
        <v>0</v>
      </c>
      <c r="DN83" s="3">
        <f t="shared" si="66"/>
        <v>0</v>
      </c>
      <c r="DO83" s="3">
        <f t="shared" si="66"/>
        <v>0</v>
      </c>
      <c r="DP83" s="3">
        <f t="shared" si="66"/>
        <v>0</v>
      </c>
      <c r="DQ83" s="3">
        <f t="shared" si="66"/>
        <v>0</v>
      </c>
      <c r="DR83" s="3">
        <f t="shared" si="66"/>
        <v>0</v>
      </c>
      <c r="DS83" s="3">
        <f t="shared" si="66"/>
        <v>0</v>
      </c>
      <c r="DT83" s="3">
        <f t="shared" si="66"/>
        <v>0</v>
      </c>
      <c r="DU83" s="3">
        <f t="shared" si="66"/>
        <v>0</v>
      </c>
      <c r="DV83" s="3">
        <f t="shared" si="66"/>
        <v>0</v>
      </c>
      <c r="DW83" s="3">
        <f t="shared" si="66"/>
        <v>0</v>
      </c>
      <c r="DX83" s="3">
        <f t="shared" si="66"/>
        <v>0</v>
      </c>
      <c r="DY83" s="3">
        <f t="shared" si="66"/>
        <v>0</v>
      </c>
      <c r="DZ83" s="3">
        <f t="shared" si="66"/>
        <v>0</v>
      </c>
      <c r="EA83" s="3">
        <f t="shared" si="66"/>
        <v>0</v>
      </c>
      <c r="EB83" s="3">
        <f t="shared" si="66"/>
        <v>0</v>
      </c>
      <c r="EC83" s="3">
        <f t="shared" si="66"/>
        <v>0</v>
      </c>
      <c r="ED83" s="3">
        <f t="shared" si="66"/>
        <v>0</v>
      </c>
      <c r="EE83" s="3">
        <f t="shared" si="66"/>
        <v>0</v>
      </c>
      <c r="EF83" s="3">
        <f t="shared" si="66"/>
        <v>0</v>
      </c>
      <c r="EG83" s="3">
        <f t="shared" si="66"/>
        <v>0</v>
      </c>
      <c r="EH83" s="3">
        <f t="shared" si="66"/>
        <v>0</v>
      </c>
      <c r="EI83" s="3">
        <f t="shared" si="66"/>
        <v>0</v>
      </c>
      <c r="EJ83" s="3">
        <f t="shared" si="66"/>
        <v>0</v>
      </c>
      <c r="EK83" s="3">
        <f t="shared" si="66"/>
        <v>0</v>
      </c>
      <c r="EL83" s="3">
        <f t="shared" si="66"/>
        <v>0</v>
      </c>
      <c r="EM83" s="3">
        <f t="shared" ref="EM83:FR83" si="67">EM92</f>
        <v>0</v>
      </c>
      <c r="EN83" s="3">
        <f t="shared" si="67"/>
        <v>0</v>
      </c>
      <c r="EO83" s="3">
        <f t="shared" si="67"/>
        <v>0</v>
      </c>
      <c r="EP83" s="3">
        <f t="shared" si="67"/>
        <v>0</v>
      </c>
      <c r="EQ83" s="3">
        <f t="shared" si="67"/>
        <v>0</v>
      </c>
      <c r="ER83" s="3">
        <f t="shared" si="67"/>
        <v>0</v>
      </c>
      <c r="ES83" s="3">
        <f t="shared" si="67"/>
        <v>0</v>
      </c>
      <c r="ET83" s="3">
        <f t="shared" si="67"/>
        <v>0</v>
      </c>
      <c r="EU83" s="3">
        <f t="shared" si="67"/>
        <v>0</v>
      </c>
      <c r="EV83" s="3">
        <f t="shared" si="67"/>
        <v>0</v>
      </c>
      <c r="EW83" s="3">
        <f t="shared" si="67"/>
        <v>0</v>
      </c>
      <c r="EX83" s="3">
        <f t="shared" si="67"/>
        <v>0</v>
      </c>
      <c r="EY83" s="3">
        <f t="shared" si="67"/>
        <v>0</v>
      </c>
      <c r="EZ83" s="3">
        <f t="shared" si="67"/>
        <v>0</v>
      </c>
      <c r="FA83" s="3">
        <f t="shared" si="67"/>
        <v>0</v>
      </c>
      <c r="FB83" s="3">
        <f t="shared" si="67"/>
        <v>0</v>
      </c>
      <c r="FC83" s="3">
        <f t="shared" si="67"/>
        <v>0</v>
      </c>
      <c r="FD83" s="3">
        <f t="shared" si="67"/>
        <v>0</v>
      </c>
      <c r="FE83" s="3">
        <f t="shared" si="67"/>
        <v>0</v>
      </c>
      <c r="FF83" s="3">
        <f t="shared" si="67"/>
        <v>0</v>
      </c>
      <c r="FG83" s="3">
        <f t="shared" si="67"/>
        <v>0</v>
      </c>
      <c r="FH83" s="3">
        <f t="shared" si="67"/>
        <v>0</v>
      </c>
      <c r="FI83" s="3">
        <f t="shared" si="67"/>
        <v>0</v>
      </c>
      <c r="FJ83" s="3">
        <f t="shared" si="67"/>
        <v>0</v>
      </c>
      <c r="FK83" s="3">
        <f t="shared" si="67"/>
        <v>0</v>
      </c>
      <c r="FL83" s="3">
        <f t="shared" si="67"/>
        <v>0</v>
      </c>
      <c r="FM83" s="3">
        <f t="shared" si="67"/>
        <v>0</v>
      </c>
      <c r="FN83" s="3">
        <f t="shared" si="67"/>
        <v>0</v>
      </c>
      <c r="FO83" s="3">
        <f t="shared" si="67"/>
        <v>0</v>
      </c>
      <c r="FP83" s="3">
        <f t="shared" si="67"/>
        <v>0</v>
      </c>
      <c r="FQ83" s="3">
        <f t="shared" si="67"/>
        <v>0</v>
      </c>
      <c r="FR83" s="3">
        <f t="shared" si="67"/>
        <v>0</v>
      </c>
      <c r="FS83" s="3">
        <f t="shared" ref="FS83:GX83" si="68">FS92</f>
        <v>0</v>
      </c>
      <c r="FT83" s="3">
        <f t="shared" si="68"/>
        <v>0</v>
      </c>
      <c r="FU83" s="3">
        <f t="shared" si="68"/>
        <v>0</v>
      </c>
      <c r="FV83" s="3">
        <f t="shared" si="68"/>
        <v>0</v>
      </c>
      <c r="FW83" s="3">
        <f t="shared" si="68"/>
        <v>0</v>
      </c>
      <c r="FX83" s="3">
        <f t="shared" si="68"/>
        <v>0</v>
      </c>
      <c r="FY83" s="3">
        <f t="shared" si="68"/>
        <v>0</v>
      </c>
      <c r="FZ83" s="3">
        <f t="shared" si="68"/>
        <v>0</v>
      </c>
      <c r="GA83" s="3">
        <f t="shared" si="68"/>
        <v>0</v>
      </c>
      <c r="GB83" s="3">
        <f t="shared" si="68"/>
        <v>0</v>
      </c>
      <c r="GC83" s="3">
        <f t="shared" si="68"/>
        <v>0</v>
      </c>
      <c r="GD83" s="3">
        <f t="shared" si="68"/>
        <v>0</v>
      </c>
      <c r="GE83" s="3">
        <f t="shared" si="68"/>
        <v>0</v>
      </c>
      <c r="GF83" s="3">
        <f t="shared" si="68"/>
        <v>0</v>
      </c>
      <c r="GG83" s="3">
        <f t="shared" si="68"/>
        <v>0</v>
      </c>
      <c r="GH83" s="3">
        <f t="shared" si="68"/>
        <v>0</v>
      </c>
      <c r="GI83" s="3">
        <f t="shared" si="68"/>
        <v>0</v>
      </c>
      <c r="GJ83" s="3">
        <f t="shared" si="68"/>
        <v>0</v>
      </c>
      <c r="GK83" s="3">
        <f t="shared" si="68"/>
        <v>0</v>
      </c>
      <c r="GL83" s="3">
        <f t="shared" si="68"/>
        <v>0</v>
      </c>
      <c r="GM83" s="3">
        <f t="shared" si="68"/>
        <v>0</v>
      </c>
      <c r="GN83" s="3">
        <f t="shared" si="68"/>
        <v>0</v>
      </c>
      <c r="GO83" s="3">
        <f t="shared" si="68"/>
        <v>0</v>
      </c>
      <c r="GP83" s="3">
        <f t="shared" si="68"/>
        <v>0</v>
      </c>
      <c r="GQ83" s="3">
        <f t="shared" si="68"/>
        <v>0</v>
      </c>
      <c r="GR83" s="3">
        <f t="shared" si="68"/>
        <v>0</v>
      </c>
      <c r="GS83" s="3">
        <f t="shared" si="68"/>
        <v>0</v>
      </c>
      <c r="GT83" s="3">
        <f t="shared" si="68"/>
        <v>0</v>
      </c>
      <c r="GU83" s="3">
        <f t="shared" si="68"/>
        <v>0</v>
      </c>
      <c r="GV83" s="3">
        <f t="shared" si="68"/>
        <v>0</v>
      </c>
      <c r="GW83" s="3">
        <f t="shared" si="68"/>
        <v>0</v>
      </c>
      <c r="GX83" s="3">
        <f t="shared" si="68"/>
        <v>0</v>
      </c>
    </row>
    <row r="85" spans="1:245" x14ac:dyDescent="0.2">
      <c r="A85">
        <v>17</v>
      </c>
      <c r="B85">
        <v>1</v>
      </c>
      <c r="C85">
        <f>ROW(SmtRes!A75)</f>
        <v>75</v>
      </c>
      <c r="D85">
        <f>ROW(EtalonRes!A64)</f>
        <v>64</v>
      </c>
      <c r="E85" t="s">
        <v>181</v>
      </c>
      <c r="F85" t="s">
        <v>182</v>
      </c>
      <c r="G85" t="s">
        <v>183</v>
      </c>
      <c r="H85" t="s">
        <v>73</v>
      </c>
      <c r="I85">
        <f>ROUND((8/100)*1,9)</f>
        <v>0.08</v>
      </c>
      <c r="J85">
        <v>0</v>
      </c>
      <c r="O85">
        <f t="shared" ref="O85:O90" si="69">ROUND(CP85,2)</f>
        <v>440.89</v>
      </c>
      <c r="P85">
        <f t="shared" ref="P85:P90" si="70">ROUND(CQ85*I85,2)</f>
        <v>8.65</v>
      </c>
      <c r="Q85">
        <f t="shared" ref="Q85:Q90" si="71">ROUND(CR85*I85,2)</f>
        <v>0</v>
      </c>
      <c r="R85">
        <f t="shared" ref="R85:R90" si="72">ROUND(CS85*I85,2)</f>
        <v>0</v>
      </c>
      <c r="S85">
        <f t="shared" ref="S85:S90" si="73">ROUND(CT85*I85,2)</f>
        <v>432.24</v>
      </c>
      <c r="T85">
        <f t="shared" ref="T85:T90" si="74">ROUND(CU85*I85,2)</f>
        <v>0</v>
      </c>
      <c r="U85">
        <f t="shared" ref="U85:U90" si="75">CV85*I85</f>
        <v>1.8175999999999999</v>
      </c>
      <c r="V85">
        <f t="shared" ref="V85:V90" si="76">CW85*I85</f>
        <v>0</v>
      </c>
      <c r="W85">
        <f t="shared" ref="W85:W90" si="77">ROUND(CX85*I85,2)</f>
        <v>0</v>
      </c>
      <c r="X85">
        <f t="shared" ref="X85:Y90" si="78">ROUND(CY85,2)</f>
        <v>350.11</v>
      </c>
      <c r="Y85">
        <f t="shared" si="78"/>
        <v>224.76</v>
      </c>
      <c r="AA85">
        <v>35007309</v>
      </c>
      <c r="AB85">
        <f t="shared" ref="AB85:AB90" si="79">ROUND((AC85+AD85+AF85),2)</f>
        <v>222.94</v>
      </c>
      <c r="AC85">
        <f t="shared" ref="AC85:AC90" si="80">ROUND((ES85),2)</f>
        <v>4.37</v>
      </c>
      <c r="AD85">
        <f t="shared" ref="AD85:AD90" si="81">ROUND((((ET85)-(EU85))+AE85),2)</f>
        <v>0</v>
      </c>
      <c r="AE85">
        <f t="shared" ref="AE85:AF90" si="82">ROUND((EU85),2)</f>
        <v>0</v>
      </c>
      <c r="AF85">
        <f t="shared" si="82"/>
        <v>218.57</v>
      </c>
      <c r="AG85">
        <f t="shared" ref="AG85:AG90" si="83">ROUND((AP85),2)</f>
        <v>0</v>
      </c>
      <c r="AH85">
        <f t="shared" ref="AH85:AI90" si="84">(EW85)</f>
        <v>22.72</v>
      </c>
      <c r="AI85">
        <f t="shared" si="84"/>
        <v>0</v>
      </c>
      <c r="AJ85">
        <f t="shared" ref="AJ85:AJ90" si="85">ROUND((AS85),2)</f>
        <v>0</v>
      </c>
      <c r="AK85">
        <v>222.94</v>
      </c>
      <c r="AL85">
        <v>4.37</v>
      </c>
      <c r="AM85">
        <v>0</v>
      </c>
      <c r="AN85">
        <v>0</v>
      </c>
      <c r="AO85">
        <v>218.57</v>
      </c>
      <c r="AP85">
        <v>0</v>
      </c>
      <c r="AQ85">
        <v>22.72</v>
      </c>
      <c r="AR85">
        <v>0</v>
      </c>
      <c r="AS85">
        <v>0</v>
      </c>
      <c r="AT85">
        <v>81</v>
      </c>
      <c r="AU85">
        <v>52</v>
      </c>
      <c r="AV85">
        <v>1</v>
      </c>
      <c r="AW85">
        <v>1</v>
      </c>
      <c r="AZ85">
        <v>1</v>
      </c>
      <c r="BA85">
        <v>24.72</v>
      </c>
      <c r="BB85">
        <v>1</v>
      </c>
      <c r="BC85">
        <v>24.73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2</v>
      </c>
      <c r="BJ85" t="s">
        <v>184</v>
      </c>
      <c r="BM85">
        <v>108001</v>
      </c>
      <c r="BN85">
        <v>31265683</v>
      </c>
      <c r="BO85" t="s">
        <v>182</v>
      </c>
      <c r="BP85">
        <v>1</v>
      </c>
      <c r="BQ85">
        <v>3</v>
      </c>
      <c r="BR85">
        <v>0</v>
      </c>
      <c r="BS85">
        <v>24.72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95</v>
      </c>
      <c r="CA85">
        <v>65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ref="CP85:CP90" si="86">(P85+Q85+S85)</f>
        <v>440.89</v>
      </c>
      <c r="CQ85">
        <f t="shared" ref="CQ85:CQ90" si="87">AC85*BC85</f>
        <v>108.07010000000001</v>
      </c>
      <c r="CR85">
        <f t="shared" ref="CR85:CR90" si="88">AD85*BB85</f>
        <v>0</v>
      </c>
      <c r="CS85">
        <f t="shared" ref="CS85:CS90" si="89">AE85*BS85</f>
        <v>0</v>
      </c>
      <c r="CT85">
        <f t="shared" ref="CT85:CT90" si="90">AF85*BA85</f>
        <v>5403.0503999999992</v>
      </c>
      <c r="CU85">
        <f t="shared" ref="CU85:CX90" si="91">AG85</f>
        <v>0</v>
      </c>
      <c r="CV85">
        <f t="shared" si="91"/>
        <v>22.72</v>
      </c>
      <c r="CW85">
        <f t="shared" si="91"/>
        <v>0</v>
      </c>
      <c r="CX85">
        <f t="shared" si="91"/>
        <v>0</v>
      </c>
      <c r="CY85">
        <f t="shared" ref="CY85:CY90" si="92">(((S85+R85)*AT85)/100)</f>
        <v>350.11440000000005</v>
      </c>
      <c r="CZ85">
        <f t="shared" ref="CZ85:CZ90" si="93">(((S85+R85)*AU85)/100)</f>
        <v>224.76480000000001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1013</v>
      </c>
      <c r="DV85" t="s">
        <v>73</v>
      </c>
      <c r="DW85" t="s">
        <v>73</v>
      </c>
      <c r="DX85">
        <v>1</v>
      </c>
      <c r="EE85">
        <v>31265967</v>
      </c>
      <c r="EF85">
        <v>3</v>
      </c>
      <c r="EG85" t="s">
        <v>46</v>
      </c>
      <c r="EH85">
        <v>0</v>
      </c>
      <c r="EI85" t="s">
        <v>3</v>
      </c>
      <c r="EJ85">
        <v>2</v>
      </c>
      <c r="EK85">
        <v>108001</v>
      </c>
      <c r="EL85" t="s">
        <v>47</v>
      </c>
      <c r="EM85" t="s">
        <v>48</v>
      </c>
      <c r="EO85" t="s">
        <v>3</v>
      </c>
      <c r="EQ85">
        <v>0</v>
      </c>
      <c r="ER85">
        <v>222.94</v>
      </c>
      <c r="ES85">
        <v>4.37</v>
      </c>
      <c r="ET85">
        <v>0</v>
      </c>
      <c r="EU85">
        <v>0</v>
      </c>
      <c r="EV85">
        <v>218.57</v>
      </c>
      <c r="EW85">
        <v>22.72</v>
      </c>
      <c r="EX85">
        <v>0</v>
      </c>
      <c r="EY85">
        <v>0</v>
      </c>
      <c r="FQ85">
        <v>0</v>
      </c>
      <c r="FR85">
        <f t="shared" ref="FR85:FR90" si="94">ROUND(IF(AND(BH85=3,BI85=3),P85,0),2)</f>
        <v>0</v>
      </c>
      <c r="FS85">
        <v>0</v>
      </c>
      <c r="FV85" t="s">
        <v>26</v>
      </c>
      <c r="FW85" t="s">
        <v>27</v>
      </c>
      <c r="FX85">
        <v>95</v>
      </c>
      <c r="FY85">
        <v>65</v>
      </c>
      <c r="GA85" t="s">
        <v>3</v>
      </c>
      <c r="GD85">
        <v>0</v>
      </c>
      <c r="GF85">
        <v>8264833</v>
      </c>
      <c r="GG85">
        <v>2</v>
      </c>
      <c r="GH85">
        <v>1</v>
      </c>
      <c r="GI85">
        <v>2</v>
      </c>
      <c r="GJ85">
        <v>0</v>
      </c>
      <c r="GK85">
        <f>ROUND(R85*(R12)/100,2)</f>
        <v>0</v>
      </c>
      <c r="GL85">
        <f t="shared" ref="GL85:GL90" si="95">ROUND(IF(AND(BH85=3,BI85=3,FS85&lt;&gt;0),P85,0),2)</f>
        <v>0</v>
      </c>
      <c r="GM85">
        <f t="shared" ref="GM85:GM90" si="96">ROUND(O85+X85+Y85+GK85,2)+GX85</f>
        <v>1015.76</v>
      </c>
      <c r="GN85">
        <f t="shared" ref="GN85:GN90" si="97">IF(OR(BI85=0,BI85=1),ROUND(O85+X85+Y85+GK85,2),0)</f>
        <v>0</v>
      </c>
      <c r="GO85">
        <f t="shared" ref="GO85:GO90" si="98">IF(BI85=2,ROUND(O85+X85+Y85+GK85,2),0)</f>
        <v>1015.76</v>
      </c>
      <c r="GP85">
        <f t="shared" ref="GP85:GP90" si="99">IF(BI85=4,ROUND(O85+X85+Y85+GK85,2)+GX85,0)</f>
        <v>0</v>
      </c>
      <c r="GR85">
        <v>0</v>
      </c>
      <c r="GS85">
        <v>3</v>
      </c>
      <c r="GT85">
        <v>0</v>
      </c>
      <c r="GU85" t="s">
        <v>3</v>
      </c>
      <c r="GV85">
        <f t="shared" ref="GV85:GV90" si="100">ROUND(GT85,2)</f>
        <v>0</v>
      </c>
      <c r="GW85">
        <v>1</v>
      </c>
      <c r="GX85">
        <f t="shared" ref="GX85:GX90" si="101">ROUND(GV85*GW85*I85,2)</f>
        <v>0</v>
      </c>
      <c r="HA85">
        <v>0</v>
      </c>
      <c r="HB85">
        <v>0</v>
      </c>
      <c r="IK85">
        <v>0</v>
      </c>
    </row>
    <row r="86" spans="1:245" x14ac:dyDescent="0.2">
      <c r="A86">
        <v>18</v>
      </c>
      <c r="B86">
        <v>1</v>
      </c>
      <c r="C86">
        <v>74</v>
      </c>
      <c r="E86" t="s">
        <v>185</v>
      </c>
      <c r="F86" t="s">
        <v>186</v>
      </c>
      <c r="G86" t="s">
        <v>187</v>
      </c>
      <c r="H86" t="s">
        <v>78</v>
      </c>
      <c r="I86">
        <f>I85*J86</f>
        <v>0.08</v>
      </c>
      <c r="J86">
        <v>1</v>
      </c>
      <c r="O86">
        <f t="shared" si="69"/>
        <v>466.07</v>
      </c>
      <c r="P86">
        <f t="shared" si="70"/>
        <v>466.07</v>
      </c>
      <c r="Q86">
        <f t="shared" si="71"/>
        <v>0</v>
      </c>
      <c r="R86">
        <f t="shared" si="72"/>
        <v>0</v>
      </c>
      <c r="S86">
        <f t="shared" si="73"/>
        <v>0</v>
      </c>
      <c r="T86">
        <f t="shared" si="74"/>
        <v>0</v>
      </c>
      <c r="U86">
        <f t="shared" si="75"/>
        <v>0</v>
      </c>
      <c r="V86">
        <f t="shared" si="76"/>
        <v>0</v>
      </c>
      <c r="W86">
        <f t="shared" si="77"/>
        <v>0</v>
      </c>
      <c r="X86">
        <f t="shared" si="78"/>
        <v>0</v>
      </c>
      <c r="Y86">
        <f t="shared" si="78"/>
        <v>0</v>
      </c>
      <c r="AA86">
        <v>35007309</v>
      </c>
      <c r="AB86">
        <f t="shared" si="79"/>
        <v>1490</v>
      </c>
      <c r="AC86">
        <f t="shared" si="80"/>
        <v>1490</v>
      </c>
      <c r="AD86">
        <f t="shared" si="81"/>
        <v>0</v>
      </c>
      <c r="AE86">
        <f t="shared" si="82"/>
        <v>0</v>
      </c>
      <c r="AF86">
        <f t="shared" si="82"/>
        <v>0</v>
      </c>
      <c r="AG86">
        <f t="shared" si="83"/>
        <v>0</v>
      </c>
      <c r="AH86">
        <f t="shared" si="84"/>
        <v>0</v>
      </c>
      <c r="AI86">
        <f t="shared" si="84"/>
        <v>0</v>
      </c>
      <c r="AJ86">
        <f t="shared" si="85"/>
        <v>0</v>
      </c>
      <c r="AK86">
        <v>1490</v>
      </c>
      <c r="AL86">
        <v>1490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81</v>
      </c>
      <c r="AU86">
        <v>52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3.91</v>
      </c>
      <c r="BD86" t="s">
        <v>3</v>
      </c>
      <c r="BE86" t="s">
        <v>3</v>
      </c>
      <c r="BF86" t="s">
        <v>3</v>
      </c>
      <c r="BG86" t="s">
        <v>3</v>
      </c>
      <c r="BH86">
        <v>3</v>
      </c>
      <c r="BI86">
        <v>2</v>
      </c>
      <c r="BJ86" t="s">
        <v>188</v>
      </c>
      <c r="BM86">
        <v>108001</v>
      </c>
      <c r="BN86">
        <v>0</v>
      </c>
      <c r="BO86" t="s">
        <v>186</v>
      </c>
      <c r="BP86">
        <v>1</v>
      </c>
      <c r="BQ86">
        <v>3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95</v>
      </c>
      <c r="CA86">
        <v>65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6"/>
        <v>466.07</v>
      </c>
      <c r="CQ86">
        <f t="shared" si="87"/>
        <v>5825.9000000000005</v>
      </c>
      <c r="CR86">
        <f t="shared" si="88"/>
        <v>0</v>
      </c>
      <c r="CS86">
        <f t="shared" si="89"/>
        <v>0</v>
      </c>
      <c r="CT86">
        <f t="shared" si="90"/>
        <v>0</v>
      </c>
      <c r="CU86">
        <f t="shared" si="91"/>
        <v>0</v>
      </c>
      <c r="CV86">
        <f t="shared" si="91"/>
        <v>0</v>
      </c>
      <c r="CW86">
        <f t="shared" si="91"/>
        <v>0</v>
      </c>
      <c r="CX86">
        <f t="shared" si="91"/>
        <v>0</v>
      </c>
      <c r="CY86">
        <f t="shared" si="92"/>
        <v>0</v>
      </c>
      <c r="CZ86">
        <f t="shared" si="93"/>
        <v>0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1010</v>
      </c>
      <c r="DV86" t="s">
        <v>78</v>
      </c>
      <c r="DW86" t="s">
        <v>78</v>
      </c>
      <c r="DX86">
        <v>100</v>
      </c>
      <c r="EE86">
        <v>31265967</v>
      </c>
      <c r="EF86">
        <v>3</v>
      </c>
      <c r="EG86" t="s">
        <v>46</v>
      </c>
      <c r="EH86">
        <v>0</v>
      </c>
      <c r="EI86" t="s">
        <v>3</v>
      </c>
      <c r="EJ86">
        <v>2</v>
      </c>
      <c r="EK86">
        <v>108001</v>
      </c>
      <c r="EL86" t="s">
        <v>47</v>
      </c>
      <c r="EM86" t="s">
        <v>48</v>
      </c>
      <c r="EO86" t="s">
        <v>3</v>
      </c>
      <c r="EQ86">
        <v>0</v>
      </c>
      <c r="ER86">
        <v>1490</v>
      </c>
      <c r="ES86">
        <v>1490</v>
      </c>
      <c r="ET86">
        <v>0</v>
      </c>
      <c r="EU86">
        <v>0</v>
      </c>
      <c r="EV86">
        <v>0</v>
      </c>
      <c r="EW86">
        <v>0</v>
      </c>
      <c r="EX86">
        <v>0</v>
      </c>
      <c r="FQ86">
        <v>0</v>
      </c>
      <c r="FR86">
        <f t="shared" si="94"/>
        <v>0</v>
      </c>
      <c r="FS86">
        <v>0</v>
      </c>
      <c r="FV86" t="s">
        <v>26</v>
      </c>
      <c r="FW86" t="s">
        <v>27</v>
      </c>
      <c r="FX86">
        <v>95</v>
      </c>
      <c r="FY86">
        <v>65</v>
      </c>
      <c r="GA86" t="s">
        <v>3</v>
      </c>
      <c r="GD86">
        <v>0</v>
      </c>
      <c r="GF86">
        <v>-1803388369</v>
      </c>
      <c r="GG86">
        <v>2</v>
      </c>
      <c r="GH86">
        <v>1</v>
      </c>
      <c r="GI86">
        <v>2</v>
      </c>
      <c r="GJ86">
        <v>0</v>
      </c>
      <c r="GK86">
        <f>ROUND(R86*(R12)/100,2)</f>
        <v>0</v>
      </c>
      <c r="GL86">
        <f t="shared" si="95"/>
        <v>0</v>
      </c>
      <c r="GM86">
        <f t="shared" si="96"/>
        <v>466.07</v>
      </c>
      <c r="GN86">
        <f t="shared" si="97"/>
        <v>0</v>
      </c>
      <c r="GO86">
        <f t="shared" si="98"/>
        <v>466.07</v>
      </c>
      <c r="GP86">
        <f t="shared" si="99"/>
        <v>0</v>
      </c>
      <c r="GR86">
        <v>0</v>
      </c>
      <c r="GS86">
        <v>3</v>
      </c>
      <c r="GT86">
        <v>0</v>
      </c>
      <c r="GU86" t="s">
        <v>3</v>
      </c>
      <c r="GV86">
        <f t="shared" si="100"/>
        <v>0</v>
      </c>
      <c r="GW86">
        <v>1</v>
      </c>
      <c r="GX86">
        <f t="shared" si="101"/>
        <v>0</v>
      </c>
      <c r="HA86">
        <v>0</v>
      </c>
      <c r="HB86">
        <v>0</v>
      </c>
      <c r="IK86">
        <v>0</v>
      </c>
    </row>
    <row r="87" spans="1:245" x14ac:dyDescent="0.2">
      <c r="A87">
        <v>17</v>
      </c>
      <c r="B87">
        <v>1</v>
      </c>
      <c r="C87">
        <f>ROW(SmtRes!A81)</f>
        <v>81</v>
      </c>
      <c r="D87">
        <f>ROW(EtalonRes!A69)</f>
        <v>69</v>
      </c>
      <c r="E87" t="s">
        <v>189</v>
      </c>
      <c r="F87" t="s">
        <v>81</v>
      </c>
      <c r="G87" t="s">
        <v>82</v>
      </c>
      <c r="H87" t="s">
        <v>83</v>
      </c>
      <c r="I87">
        <v>8</v>
      </c>
      <c r="J87">
        <v>0</v>
      </c>
      <c r="O87">
        <f t="shared" si="69"/>
        <v>1126.23</v>
      </c>
      <c r="P87">
        <f t="shared" si="70"/>
        <v>68.209999999999994</v>
      </c>
      <c r="Q87">
        <f t="shared" si="71"/>
        <v>0</v>
      </c>
      <c r="R87">
        <f t="shared" si="72"/>
        <v>0</v>
      </c>
      <c r="S87">
        <f t="shared" si="73"/>
        <v>1058.02</v>
      </c>
      <c r="T87">
        <f t="shared" si="74"/>
        <v>0</v>
      </c>
      <c r="U87">
        <f t="shared" si="75"/>
        <v>4.72</v>
      </c>
      <c r="V87">
        <f t="shared" si="76"/>
        <v>0</v>
      </c>
      <c r="W87">
        <f t="shared" si="77"/>
        <v>0</v>
      </c>
      <c r="X87">
        <f t="shared" si="78"/>
        <v>857</v>
      </c>
      <c r="Y87">
        <f t="shared" si="78"/>
        <v>550.16999999999996</v>
      </c>
      <c r="AA87">
        <v>35007309</v>
      </c>
      <c r="AB87">
        <f t="shared" si="79"/>
        <v>6.29</v>
      </c>
      <c r="AC87">
        <f t="shared" si="80"/>
        <v>0.94</v>
      </c>
      <c r="AD87">
        <f t="shared" si="81"/>
        <v>0</v>
      </c>
      <c r="AE87">
        <f t="shared" si="82"/>
        <v>0</v>
      </c>
      <c r="AF87">
        <f t="shared" si="82"/>
        <v>5.35</v>
      </c>
      <c r="AG87">
        <f t="shared" si="83"/>
        <v>0</v>
      </c>
      <c r="AH87">
        <f t="shared" si="84"/>
        <v>0.59</v>
      </c>
      <c r="AI87">
        <f t="shared" si="84"/>
        <v>0</v>
      </c>
      <c r="AJ87">
        <f t="shared" si="85"/>
        <v>0</v>
      </c>
      <c r="AK87">
        <v>6.29</v>
      </c>
      <c r="AL87">
        <v>0.94</v>
      </c>
      <c r="AM87">
        <v>0</v>
      </c>
      <c r="AN87">
        <v>0</v>
      </c>
      <c r="AO87">
        <v>5.35</v>
      </c>
      <c r="AP87">
        <v>0</v>
      </c>
      <c r="AQ87">
        <v>0.59</v>
      </c>
      <c r="AR87">
        <v>0</v>
      </c>
      <c r="AS87">
        <v>0</v>
      </c>
      <c r="AT87">
        <v>81</v>
      </c>
      <c r="AU87">
        <v>52</v>
      </c>
      <c r="AV87">
        <v>1</v>
      </c>
      <c r="AW87">
        <v>1</v>
      </c>
      <c r="AZ87">
        <v>1</v>
      </c>
      <c r="BA87">
        <v>24.72</v>
      </c>
      <c r="BB87">
        <v>1</v>
      </c>
      <c r="BC87">
        <v>9.07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2</v>
      </c>
      <c r="BJ87" t="s">
        <v>84</v>
      </c>
      <c r="BM87">
        <v>108001</v>
      </c>
      <c r="BN87">
        <v>31265683</v>
      </c>
      <c r="BO87" t="s">
        <v>81</v>
      </c>
      <c r="BP87">
        <v>1</v>
      </c>
      <c r="BQ87">
        <v>3</v>
      </c>
      <c r="BR87">
        <v>0</v>
      </c>
      <c r="BS87">
        <v>24.72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95</v>
      </c>
      <c r="CA87">
        <v>65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86"/>
        <v>1126.23</v>
      </c>
      <c r="CQ87">
        <f t="shared" si="87"/>
        <v>8.5258000000000003</v>
      </c>
      <c r="CR87">
        <f t="shared" si="88"/>
        <v>0</v>
      </c>
      <c r="CS87">
        <f t="shared" si="89"/>
        <v>0</v>
      </c>
      <c r="CT87">
        <f t="shared" si="90"/>
        <v>132.25199999999998</v>
      </c>
      <c r="CU87">
        <f t="shared" si="91"/>
        <v>0</v>
      </c>
      <c r="CV87">
        <f t="shared" si="91"/>
        <v>0.59</v>
      </c>
      <c r="CW87">
        <f t="shared" si="91"/>
        <v>0</v>
      </c>
      <c r="CX87">
        <f t="shared" si="91"/>
        <v>0</v>
      </c>
      <c r="CY87">
        <f t="shared" si="92"/>
        <v>856.99619999999993</v>
      </c>
      <c r="CZ87">
        <f t="shared" si="93"/>
        <v>550.17039999999997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1013</v>
      </c>
      <c r="DV87" t="s">
        <v>83</v>
      </c>
      <c r="DW87" t="s">
        <v>83</v>
      </c>
      <c r="DX87">
        <v>1</v>
      </c>
      <c r="EE87">
        <v>31265967</v>
      </c>
      <c r="EF87">
        <v>3</v>
      </c>
      <c r="EG87" t="s">
        <v>46</v>
      </c>
      <c r="EH87">
        <v>0</v>
      </c>
      <c r="EI87" t="s">
        <v>3</v>
      </c>
      <c r="EJ87">
        <v>2</v>
      </c>
      <c r="EK87">
        <v>108001</v>
      </c>
      <c r="EL87" t="s">
        <v>47</v>
      </c>
      <c r="EM87" t="s">
        <v>48</v>
      </c>
      <c r="EO87" t="s">
        <v>3</v>
      </c>
      <c r="EQ87">
        <v>0</v>
      </c>
      <c r="ER87">
        <v>6.29</v>
      </c>
      <c r="ES87">
        <v>0.94</v>
      </c>
      <c r="ET87">
        <v>0</v>
      </c>
      <c r="EU87">
        <v>0</v>
      </c>
      <c r="EV87">
        <v>5.35</v>
      </c>
      <c r="EW87">
        <v>0.59</v>
      </c>
      <c r="EX87">
        <v>0</v>
      </c>
      <c r="EY87">
        <v>0</v>
      </c>
      <c r="FQ87">
        <v>0</v>
      </c>
      <c r="FR87">
        <f t="shared" si="94"/>
        <v>0</v>
      </c>
      <c r="FS87">
        <v>0</v>
      </c>
      <c r="FV87" t="s">
        <v>26</v>
      </c>
      <c r="FW87" t="s">
        <v>27</v>
      </c>
      <c r="FX87">
        <v>95</v>
      </c>
      <c r="FY87">
        <v>65</v>
      </c>
      <c r="GA87" t="s">
        <v>3</v>
      </c>
      <c r="GD87">
        <v>0</v>
      </c>
      <c r="GF87">
        <v>-1075089509</v>
      </c>
      <c r="GG87">
        <v>2</v>
      </c>
      <c r="GH87">
        <v>1</v>
      </c>
      <c r="GI87">
        <v>2</v>
      </c>
      <c r="GJ87">
        <v>0</v>
      </c>
      <c r="GK87">
        <f>ROUND(R87*(R12)/100,2)</f>
        <v>0</v>
      </c>
      <c r="GL87">
        <f t="shared" si="95"/>
        <v>0</v>
      </c>
      <c r="GM87">
        <f t="shared" si="96"/>
        <v>2533.4</v>
      </c>
      <c r="GN87">
        <f t="shared" si="97"/>
        <v>0</v>
      </c>
      <c r="GO87">
        <f t="shared" si="98"/>
        <v>2533.4</v>
      </c>
      <c r="GP87">
        <f t="shared" si="99"/>
        <v>0</v>
      </c>
      <c r="GR87">
        <v>0</v>
      </c>
      <c r="GS87">
        <v>3</v>
      </c>
      <c r="GT87">
        <v>0</v>
      </c>
      <c r="GU87" t="s">
        <v>3</v>
      </c>
      <c r="GV87">
        <f t="shared" si="100"/>
        <v>0</v>
      </c>
      <c r="GW87">
        <v>1</v>
      </c>
      <c r="GX87">
        <f t="shared" si="101"/>
        <v>0</v>
      </c>
      <c r="HA87">
        <v>0</v>
      </c>
      <c r="HB87">
        <v>0</v>
      </c>
      <c r="IK87">
        <v>0</v>
      </c>
    </row>
    <row r="88" spans="1:245" x14ac:dyDescent="0.2">
      <c r="A88">
        <v>18</v>
      </c>
      <c r="B88">
        <v>1</v>
      </c>
      <c r="C88">
        <v>80</v>
      </c>
      <c r="E88" t="s">
        <v>190</v>
      </c>
      <c r="F88" t="s">
        <v>86</v>
      </c>
      <c r="G88" t="s">
        <v>87</v>
      </c>
      <c r="H88" t="s">
        <v>52</v>
      </c>
      <c r="I88">
        <f>I87*J88</f>
        <v>8</v>
      </c>
      <c r="J88">
        <v>1</v>
      </c>
      <c r="O88">
        <f t="shared" si="69"/>
        <v>829.92</v>
      </c>
      <c r="P88">
        <f t="shared" si="70"/>
        <v>829.92</v>
      </c>
      <c r="Q88">
        <f t="shared" si="71"/>
        <v>0</v>
      </c>
      <c r="R88">
        <f t="shared" si="72"/>
        <v>0</v>
      </c>
      <c r="S88">
        <f t="shared" si="73"/>
        <v>0</v>
      </c>
      <c r="T88">
        <f t="shared" si="74"/>
        <v>0</v>
      </c>
      <c r="U88">
        <f t="shared" si="75"/>
        <v>0</v>
      </c>
      <c r="V88">
        <f t="shared" si="76"/>
        <v>0</v>
      </c>
      <c r="W88">
        <f t="shared" si="77"/>
        <v>0</v>
      </c>
      <c r="X88">
        <f t="shared" si="78"/>
        <v>0</v>
      </c>
      <c r="Y88">
        <f t="shared" si="78"/>
        <v>0</v>
      </c>
      <c r="AA88">
        <v>35007309</v>
      </c>
      <c r="AB88">
        <f t="shared" si="79"/>
        <v>38</v>
      </c>
      <c r="AC88">
        <f t="shared" si="80"/>
        <v>38</v>
      </c>
      <c r="AD88">
        <f t="shared" si="81"/>
        <v>0</v>
      </c>
      <c r="AE88">
        <f t="shared" si="82"/>
        <v>0</v>
      </c>
      <c r="AF88">
        <f t="shared" si="82"/>
        <v>0</v>
      </c>
      <c r="AG88">
        <f t="shared" si="83"/>
        <v>0</v>
      </c>
      <c r="AH88">
        <f t="shared" si="84"/>
        <v>0</v>
      </c>
      <c r="AI88">
        <f t="shared" si="84"/>
        <v>0</v>
      </c>
      <c r="AJ88">
        <f t="shared" si="85"/>
        <v>0</v>
      </c>
      <c r="AK88">
        <v>38</v>
      </c>
      <c r="AL88">
        <v>38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81</v>
      </c>
      <c r="AU88">
        <v>52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2.73</v>
      </c>
      <c r="BD88" t="s">
        <v>3</v>
      </c>
      <c r="BE88" t="s">
        <v>3</v>
      </c>
      <c r="BF88" t="s">
        <v>3</v>
      </c>
      <c r="BG88" t="s">
        <v>3</v>
      </c>
      <c r="BH88">
        <v>3</v>
      </c>
      <c r="BI88">
        <v>2</v>
      </c>
      <c r="BJ88" t="s">
        <v>88</v>
      </c>
      <c r="BM88">
        <v>108001</v>
      </c>
      <c r="BN88">
        <v>0</v>
      </c>
      <c r="BO88" t="s">
        <v>86</v>
      </c>
      <c r="BP88">
        <v>1</v>
      </c>
      <c r="BQ88">
        <v>3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95</v>
      </c>
      <c r="CA88">
        <v>65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6"/>
        <v>829.92</v>
      </c>
      <c r="CQ88">
        <f t="shared" si="87"/>
        <v>103.74</v>
      </c>
      <c r="CR88">
        <f t="shared" si="88"/>
        <v>0</v>
      </c>
      <c r="CS88">
        <f t="shared" si="89"/>
        <v>0</v>
      </c>
      <c r="CT88">
        <f t="shared" si="90"/>
        <v>0</v>
      </c>
      <c r="CU88">
        <f t="shared" si="91"/>
        <v>0</v>
      </c>
      <c r="CV88">
        <f t="shared" si="91"/>
        <v>0</v>
      </c>
      <c r="CW88">
        <f t="shared" si="91"/>
        <v>0</v>
      </c>
      <c r="CX88">
        <f t="shared" si="91"/>
        <v>0</v>
      </c>
      <c r="CY88">
        <f t="shared" si="92"/>
        <v>0</v>
      </c>
      <c r="CZ88">
        <f t="shared" si="93"/>
        <v>0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1010</v>
      </c>
      <c r="DV88" t="s">
        <v>52</v>
      </c>
      <c r="DW88" t="s">
        <v>52</v>
      </c>
      <c r="DX88">
        <v>1</v>
      </c>
      <c r="EE88">
        <v>31265967</v>
      </c>
      <c r="EF88">
        <v>3</v>
      </c>
      <c r="EG88" t="s">
        <v>46</v>
      </c>
      <c r="EH88">
        <v>0</v>
      </c>
      <c r="EI88" t="s">
        <v>3</v>
      </c>
      <c r="EJ88">
        <v>2</v>
      </c>
      <c r="EK88">
        <v>108001</v>
      </c>
      <c r="EL88" t="s">
        <v>47</v>
      </c>
      <c r="EM88" t="s">
        <v>48</v>
      </c>
      <c r="EO88" t="s">
        <v>3</v>
      </c>
      <c r="EQ88">
        <v>0</v>
      </c>
      <c r="ER88">
        <v>38</v>
      </c>
      <c r="ES88">
        <v>38</v>
      </c>
      <c r="ET88">
        <v>0</v>
      </c>
      <c r="EU88">
        <v>0</v>
      </c>
      <c r="EV88">
        <v>0</v>
      </c>
      <c r="EW88">
        <v>0</v>
      </c>
      <c r="EX88">
        <v>0</v>
      </c>
      <c r="FQ88">
        <v>0</v>
      </c>
      <c r="FR88">
        <f t="shared" si="94"/>
        <v>0</v>
      </c>
      <c r="FS88">
        <v>0</v>
      </c>
      <c r="FV88" t="s">
        <v>26</v>
      </c>
      <c r="FW88" t="s">
        <v>27</v>
      </c>
      <c r="FX88">
        <v>95</v>
      </c>
      <c r="FY88">
        <v>65</v>
      </c>
      <c r="GA88" t="s">
        <v>3</v>
      </c>
      <c r="GD88">
        <v>0</v>
      </c>
      <c r="GF88">
        <v>780116230</v>
      </c>
      <c r="GG88">
        <v>2</v>
      </c>
      <c r="GH88">
        <v>1</v>
      </c>
      <c r="GI88">
        <v>2</v>
      </c>
      <c r="GJ88">
        <v>0</v>
      </c>
      <c r="GK88">
        <f>ROUND(R88*(R12)/100,2)</f>
        <v>0</v>
      </c>
      <c r="GL88">
        <f t="shared" si="95"/>
        <v>0</v>
      </c>
      <c r="GM88">
        <f t="shared" si="96"/>
        <v>829.92</v>
      </c>
      <c r="GN88">
        <f t="shared" si="97"/>
        <v>0</v>
      </c>
      <c r="GO88">
        <f t="shared" si="98"/>
        <v>829.92</v>
      </c>
      <c r="GP88">
        <f t="shared" si="99"/>
        <v>0</v>
      </c>
      <c r="GR88">
        <v>0</v>
      </c>
      <c r="GS88">
        <v>3</v>
      </c>
      <c r="GT88">
        <v>0</v>
      </c>
      <c r="GU88" t="s">
        <v>3</v>
      </c>
      <c r="GV88">
        <f t="shared" si="100"/>
        <v>0</v>
      </c>
      <c r="GW88">
        <v>1</v>
      </c>
      <c r="GX88">
        <f t="shared" si="101"/>
        <v>0</v>
      </c>
      <c r="HA88">
        <v>0</v>
      </c>
      <c r="HB88">
        <v>0</v>
      </c>
      <c r="IK88">
        <v>0</v>
      </c>
    </row>
    <row r="89" spans="1:245" x14ac:dyDescent="0.2">
      <c r="A89">
        <v>17</v>
      </c>
      <c r="B89">
        <v>1</v>
      </c>
      <c r="C89">
        <f>ROW(SmtRes!A93)</f>
        <v>93</v>
      </c>
      <c r="D89">
        <f>ROW(EtalonRes!A80)</f>
        <v>80</v>
      </c>
      <c r="E89" t="s">
        <v>191</v>
      </c>
      <c r="F89" t="s">
        <v>192</v>
      </c>
      <c r="G89" t="s">
        <v>193</v>
      </c>
      <c r="H89" t="s">
        <v>57</v>
      </c>
      <c r="I89">
        <f>ROUND((12/100)*1,9)</f>
        <v>0.12</v>
      </c>
      <c r="J89">
        <v>0</v>
      </c>
      <c r="O89">
        <f t="shared" si="69"/>
        <v>441.8</v>
      </c>
      <c r="P89">
        <f t="shared" si="70"/>
        <v>34.340000000000003</v>
      </c>
      <c r="Q89">
        <f t="shared" si="71"/>
        <v>53.33</v>
      </c>
      <c r="R89">
        <f t="shared" si="72"/>
        <v>14.89</v>
      </c>
      <c r="S89">
        <f t="shared" si="73"/>
        <v>354.13</v>
      </c>
      <c r="T89">
        <f t="shared" si="74"/>
        <v>0</v>
      </c>
      <c r="U89">
        <f t="shared" si="75"/>
        <v>1.4891999999999999</v>
      </c>
      <c r="V89">
        <f t="shared" si="76"/>
        <v>4.8000000000000001E-2</v>
      </c>
      <c r="W89">
        <f t="shared" si="77"/>
        <v>0</v>
      </c>
      <c r="X89">
        <f t="shared" si="78"/>
        <v>298.91000000000003</v>
      </c>
      <c r="Y89">
        <f t="shared" si="78"/>
        <v>191.89</v>
      </c>
      <c r="AA89">
        <v>35007309</v>
      </c>
      <c r="AB89">
        <f t="shared" si="79"/>
        <v>196.31</v>
      </c>
      <c r="AC89">
        <f t="shared" si="80"/>
        <v>29.35</v>
      </c>
      <c r="AD89">
        <f t="shared" si="81"/>
        <v>47.58</v>
      </c>
      <c r="AE89">
        <f t="shared" si="82"/>
        <v>5.0199999999999996</v>
      </c>
      <c r="AF89">
        <f t="shared" si="82"/>
        <v>119.38</v>
      </c>
      <c r="AG89">
        <f t="shared" si="83"/>
        <v>0</v>
      </c>
      <c r="AH89">
        <f t="shared" si="84"/>
        <v>12.41</v>
      </c>
      <c r="AI89">
        <f t="shared" si="84"/>
        <v>0.4</v>
      </c>
      <c r="AJ89">
        <f t="shared" si="85"/>
        <v>0</v>
      </c>
      <c r="AK89">
        <v>196.31</v>
      </c>
      <c r="AL89">
        <v>29.35</v>
      </c>
      <c r="AM89">
        <v>47.58</v>
      </c>
      <c r="AN89">
        <v>5.0199999999999996</v>
      </c>
      <c r="AO89">
        <v>119.38</v>
      </c>
      <c r="AP89">
        <v>0</v>
      </c>
      <c r="AQ89">
        <v>12.41</v>
      </c>
      <c r="AR89">
        <v>0.4</v>
      </c>
      <c r="AS89">
        <v>0</v>
      </c>
      <c r="AT89">
        <v>81</v>
      </c>
      <c r="AU89">
        <v>52</v>
      </c>
      <c r="AV89">
        <v>1</v>
      </c>
      <c r="AW89">
        <v>1</v>
      </c>
      <c r="AZ89">
        <v>1</v>
      </c>
      <c r="BA89">
        <v>24.72</v>
      </c>
      <c r="BB89">
        <v>9.34</v>
      </c>
      <c r="BC89">
        <v>9.75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2</v>
      </c>
      <c r="BJ89" t="s">
        <v>194</v>
      </c>
      <c r="BM89">
        <v>108001</v>
      </c>
      <c r="BN89">
        <v>31265683</v>
      </c>
      <c r="BO89" t="s">
        <v>192</v>
      </c>
      <c r="BP89">
        <v>1</v>
      </c>
      <c r="BQ89">
        <v>3</v>
      </c>
      <c r="BR89">
        <v>0</v>
      </c>
      <c r="BS89">
        <v>24.72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95</v>
      </c>
      <c r="CA89">
        <v>65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86"/>
        <v>441.8</v>
      </c>
      <c r="CQ89">
        <f t="shared" si="87"/>
        <v>286.16250000000002</v>
      </c>
      <c r="CR89">
        <f t="shared" si="88"/>
        <v>444.3972</v>
      </c>
      <c r="CS89">
        <f t="shared" si="89"/>
        <v>124.09439999999998</v>
      </c>
      <c r="CT89">
        <f t="shared" si="90"/>
        <v>2951.0735999999997</v>
      </c>
      <c r="CU89">
        <f t="shared" si="91"/>
        <v>0</v>
      </c>
      <c r="CV89">
        <f t="shared" si="91"/>
        <v>12.41</v>
      </c>
      <c r="CW89">
        <f t="shared" si="91"/>
        <v>0.4</v>
      </c>
      <c r="CX89">
        <f t="shared" si="91"/>
        <v>0</v>
      </c>
      <c r="CY89">
        <f t="shared" si="92"/>
        <v>298.90620000000001</v>
      </c>
      <c r="CZ89">
        <f t="shared" si="93"/>
        <v>191.8904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1003</v>
      </c>
      <c r="DV89" t="s">
        <v>57</v>
      </c>
      <c r="DW89" t="s">
        <v>57</v>
      </c>
      <c r="DX89">
        <v>100</v>
      </c>
      <c r="EE89">
        <v>31265967</v>
      </c>
      <c r="EF89">
        <v>3</v>
      </c>
      <c r="EG89" t="s">
        <v>46</v>
      </c>
      <c r="EH89">
        <v>0</v>
      </c>
      <c r="EI89" t="s">
        <v>3</v>
      </c>
      <c r="EJ89">
        <v>2</v>
      </c>
      <c r="EK89">
        <v>108001</v>
      </c>
      <c r="EL89" t="s">
        <v>47</v>
      </c>
      <c r="EM89" t="s">
        <v>48</v>
      </c>
      <c r="EO89" t="s">
        <v>3</v>
      </c>
      <c r="EQ89">
        <v>0</v>
      </c>
      <c r="ER89">
        <v>196.31</v>
      </c>
      <c r="ES89">
        <v>29.35</v>
      </c>
      <c r="ET89">
        <v>47.58</v>
      </c>
      <c r="EU89">
        <v>5.0199999999999996</v>
      </c>
      <c r="EV89">
        <v>119.38</v>
      </c>
      <c r="EW89">
        <v>12.41</v>
      </c>
      <c r="EX89">
        <v>0.4</v>
      </c>
      <c r="EY89">
        <v>0</v>
      </c>
      <c r="FQ89">
        <v>0</v>
      </c>
      <c r="FR89">
        <f t="shared" si="94"/>
        <v>0</v>
      </c>
      <c r="FS89">
        <v>0</v>
      </c>
      <c r="FV89" t="s">
        <v>26</v>
      </c>
      <c r="FW89" t="s">
        <v>27</v>
      </c>
      <c r="FX89">
        <v>95</v>
      </c>
      <c r="FY89">
        <v>65</v>
      </c>
      <c r="GA89" t="s">
        <v>3</v>
      </c>
      <c r="GD89">
        <v>0</v>
      </c>
      <c r="GF89">
        <v>-54301519</v>
      </c>
      <c r="GG89">
        <v>2</v>
      </c>
      <c r="GH89">
        <v>1</v>
      </c>
      <c r="GI89">
        <v>2</v>
      </c>
      <c r="GJ89">
        <v>0</v>
      </c>
      <c r="GK89">
        <f>ROUND(R89*(R12)/100,2)</f>
        <v>0</v>
      </c>
      <c r="GL89">
        <f t="shared" si="95"/>
        <v>0</v>
      </c>
      <c r="GM89">
        <f t="shared" si="96"/>
        <v>932.6</v>
      </c>
      <c r="GN89">
        <f t="shared" si="97"/>
        <v>0</v>
      </c>
      <c r="GO89">
        <f t="shared" si="98"/>
        <v>932.6</v>
      </c>
      <c r="GP89">
        <f t="shared" si="99"/>
        <v>0</v>
      </c>
      <c r="GR89">
        <v>0</v>
      </c>
      <c r="GS89">
        <v>3</v>
      </c>
      <c r="GT89">
        <v>0</v>
      </c>
      <c r="GU89" t="s">
        <v>3</v>
      </c>
      <c r="GV89">
        <f t="shared" si="100"/>
        <v>0</v>
      </c>
      <c r="GW89">
        <v>1</v>
      </c>
      <c r="GX89">
        <f t="shared" si="101"/>
        <v>0</v>
      </c>
      <c r="HA89">
        <v>0</v>
      </c>
      <c r="HB89">
        <v>0</v>
      </c>
      <c r="IK89">
        <v>0</v>
      </c>
    </row>
    <row r="90" spans="1:245" x14ac:dyDescent="0.2">
      <c r="A90">
        <v>18</v>
      </c>
      <c r="B90">
        <v>1</v>
      </c>
      <c r="C90">
        <v>92</v>
      </c>
      <c r="E90" t="s">
        <v>195</v>
      </c>
      <c r="F90" t="s">
        <v>196</v>
      </c>
      <c r="G90" t="s">
        <v>197</v>
      </c>
      <c r="H90" t="s">
        <v>62</v>
      </c>
      <c r="I90">
        <f>I89*J90</f>
        <v>1.2239999999999999E-2</v>
      </c>
      <c r="J90">
        <v>0.10199999999999999</v>
      </c>
      <c r="O90">
        <f t="shared" si="69"/>
        <v>4014.32</v>
      </c>
      <c r="P90">
        <f t="shared" si="70"/>
        <v>4014.32</v>
      </c>
      <c r="Q90">
        <f t="shared" si="71"/>
        <v>0</v>
      </c>
      <c r="R90">
        <f t="shared" si="72"/>
        <v>0</v>
      </c>
      <c r="S90">
        <f t="shared" si="73"/>
        <v>0</v>
      </c>
      <c r="T90">
        <f t="shared" si="74"/>
        <v>0</v>
      </c>
      <c r="U90">
        <f t="shared" si="75"/>
        <v>0</v>
      </c>
      <c r="V90">
        <f t="shared" si="76"/>
        <v>0</v>
      </c>
      <c r="W90">
        <f t="shared" si="77"/>
        <v>0</v>
      </c>
      <c r="X90">
        <f t="shared" si="78"/>
        <v>0</v>
      </c>
      <c r="Y90">
        <f t="shared" si="78"/>
        <v>0</v>
      </c>
      <c r="AA90">
        <v>35007309</v>
      </c>
      <c r="AB90">
        <f t="shared" si="79"/>
        <v>76271.44</v>
      </c>
      <c r="AC90">
        <f t="shared" si="80"/>
        <v>76271.44</v>
      </c>
      <c r="AD90">
        <f t="shared" si="81"/>
        <v>0</v>
      </c>
      <c r="AE90">
        <f t="shared" si="82"/>
        <v>0</v>
      </c>
      <c r="AF90">
        <f t="shared" si="82"/>
        <v>0</v>
      </c>
      <c r="AG90">
        <f t="shared" si="83"/>
        <v>0</v>
      </c>
      <c r="AH90">
        <f t="shared" si="84"/>
        <v>0</v>
      </c>
      <c r="AI90">
        <f t="shared" si="84"/>
        <v>0</v>
      </c>
      <c r="AJ90">
        <f t="shared" si="85"/>
        <v>0</v>
      </c>
      <c r="AK90">
        <v>76271.44</v>
      </c>
      <c r="AL90">
        <v>76271.44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81</v>
      </c>
      <c r="AU90">
        <v>52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4.3</v>
      </c>
      <c r="BD90" t="s">
        <v>3</v>
      </c>
      <c r="BE90" t="s">
        <v>3</v>
      </c>
      <c r="BF90" t="s">
        <v>3</v>
      </c>
      <c r="BG90" t="s">
        <v>3</v>
      </c>
      <c r="BH90">
        <v>3</v>
      </c>
      <c r="BI90">
        <v>2</v>
      </c>
      <c r="BJ90" t="s">
        <v>198</v>
      </c>
      <c r="BM90">
        <v>108001</v>
      </c>
      <c r="BN90">
        <v>0</v>
      </c>
      <c r="BO90" t="s">
        <v>196</v>
      </c>
      <c r="BP90">
        <v>1</v>
      </c>
      <c r="BQ90">
        <v>3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95</v>
      </c>
      <c r="CA90">
        <v>65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86"/>
        <v>4014.32</v>
      </c>
      <c r="CQ90">
        <f t="shared" si="87"/>
        <v>327967.19199999998</v>
      </c>
      <c r="CR90">
        <f t="shared" si="88"/>
        <v>0</v>
      </c>
      <c r="CS90">
        <f t="shared" si="89"/>
        <v>0</v>
      </c>
      <c r="CT90">
        <f t="shared" si="90"/>
        <v>0</v>
      </c>
      <c r="CU90">
        <f t="shared" si="91"/>
        <v>0</v>
      </c>
      <c r="CV90">
        <f t="shared" si="91"/>
        <v>0</v>
      </c>
      <c r="CW90">
        <f t="shared" si="91"/>
        <v>0</v>
      </c>
      <c r="CX90">
        <f t="shared" si="91"/>
        <v>0</v>
      </c>
      <c r="CY90">
        <f t="shared" si="92"/>
        <v>0</v>
      </c>
      <c r="CZ90">
        <f t="shared" si="93"/>
        <v>0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1013</v>
      </c>
      <c r="DV90" t="s">
        <v>62</v>
      </c>
      <c r="DW90" t="s">
        <v>64</v>
      </c>
      <c r="DX90">
        <v>1</v>
      </c>
      <c r="EE90">
        <v>31265967</v>
      </c>
      <c r="EF90">
        <v>3</v>
      </c>
      <c r="EG90" t="s">
        <v>46</v>
      </c>
      <c r="EH90">
        <v>0</v>
      </c>
      <c r="EI90" t="s">
        <v>3</v>
      </c>
      <c r="EJ90">
        <v>2</v>
      </c>
      <c r="EK90">
        <v>108001</v>
      </c>
      <c r="EL90" t="s">
        <v>47</v>
      </c>
      <c r="EM90" t="s">
        <v>48</v>
      </c>
      <c r="EO90" t="s">
        <v>3</v>
      </c>
      <c r="EQ90">
        <v>0</v>
      </c>
      <c r="ER90">
        <v>76271.44</v>
      </c>
      <c r="ES90">
        <v>76271.44</v>
      </c>
      <c r="ET90">
        <v>0</v>
      </c>
      <c r="EU90">
        <v>0</v>
      </c>
      <c r="EV90">
        <v>0</v>
      </c>
      <c r="EW90">
        <v>0</v>
      </c>
      <c r="EX90">
        <v>0</v>
      </c>
      <c r="FQ90">
        <v>0</v>
      </c>
      <c r="FR90">
        <f t="shared" si="94"/>
        <v>0</v>
      </c>
      <c r="FS90">
        <v>0</v>
      </c>
      <c r="FV90" t="s">
        <v>26</v>
      </c>
      <c r="FW90" t="s">
        <v>27</v>
      </c>
      <c r="FX90">
        <v>95</v>
      </c>
      <c r="FY90">
        <v>65</v>
      </c>
      <c r="GA90" t="s">
        <v>3</v>
      </c>
      <c r="GD90">
        <v>0</v>
      </c>
      <c r="GF90">
        <v>1943402090</v>
      </c>
      <c r="GG90">
        <v>2</v>
      </c>
      <c r="GH90">
        <v>1</v>
      </c>
      <c r="GI90">
        <v>2</v>
      </c>
      <c r="GJ90">
        <v>0</v>
      </c>
      <c r="GK90">
        <f>ROUND(R90*(R12)/100,2)</f>
        <v>0</v>
      </c>
      <c r="GL90">
        <f t="shared" si="95"/>
        <v>0</v>
      </c>
      <c r="GM90">
        <f t="shared" si="96"/>
        <v>4014.32</v>
      </c>
      <c r="GN90">
        <f t="shared" si="97"/>
        <v>0</v>
      </c>
      <c r="GO90">
        <f t="shared" si="98"/>
        <v>4014.32</v>
      </c>
      <c r="GP90">
        <f t="shared" si="99"/>
        <v>0</v>
      </c>
      <c r="GR90">
        <v>0</v>
      </c>
      <c r="GS90">
        <v>3</v>
      </c>
      <c r="GT90">
        <v>0</v>
      </c>
      <c r="GU90" t="s">
        <v>3</v>
      </c>
      <c r="GV90">
        <f t="shared" si="100"/>
        <v>0</v>
      </c>
      <c r="GW90">
        <v>1</v>
      </c>
      <c r="GX90">
        <f t="shared" si="101"/>
        <v>0</v>
      </c>
      <c r="HA90">
        <v>0</v>
      </c>
      <c r="HB90">
        <v>0</v>
      </c>
      <c r="IK90">
        <v>0</v>
      </c>
    </row>
    <row r="92" spans="1:245" x14ac:dyDescent="0.2">
      <c r="A92" s="2">
        <v>51</v>
      </c>
      <c r="B92" s="2">
        <f>B81</f>
        <v>1</v>
      </c>
      <c r="C92" s="2">
        <f>A81</f>
        <v>4</v>
      </c>
      <c r="D92" s="2">
        <f>ROW(A81)</f>
        <v>81</v>
      </c>
      <c r="E92" s="2"/>
      <c r="F92" s="2" t="str">
        <f>IF(F81&lt;&gt;"",F81,"")</f>
        <v>Новый раздел</v>
      </c>
      <c r="G92" s="2" t="str">
        <f>IF(G81&lt;&gt;"",G81,"")</f>
        <v>Ру 0,4 кВ №2</v>
      </c>
      <c r="H92" s="2">
        <v>0</v>
      </c>
      <c r="I92" s="2"/>
      <c r="J92" s="2"/>
      <c r="K92" s="2"/>
      <c r="L92" s="2"/>
      <c r="M92" s="2"/>
      <c r="N92" s="2"/>
      <c r="O92" s="2">
        <f t="shared" ref="O92:T92" si="102">ROUND(AB92,2)</f>
        <v>7319.23</v>
      </c>
      <c r="P92" s="2">
        <f t="shared" si="102"/>
        <v>5421.51</v>
      </c>
      <c r="Q92" s="2">
        <f t="shared" si="102"/>
        <v>53.33</v>
      </c>
      <c r="R92" s="2">
        <f t="shared" si="102"/>
        <v>14.89</v>
      </c>
      <c r="S92" s="2">
        <f t="shared" si="102"/>
        <v>1844.39</v>
      </c>
      <c r="T92" s="2">
        <f t="shared" si="102"/>
        <v>0</v>
      </c>
      <c r="U92" s="2">
        <f>AH92</f>
        <v>8.0267999999999997</v>
      </c>
      <c r="V92" s="2">
        <f>AI92</f>
        <v>4.8000000000000001E-2</v>
      </c>
      <c r="W92" s="2">
        <f>ROUND(AJ92,2)</f>
        <v>0</v>
      </c>
      <c r="X92" s="2">
        <f>ROUND(AK92,2)</f>
        <v>1506.02</v>
      </c>
      <c r="Y92" s="2">
        <f>ROUND(AL92,2)</f>
        <v>966.82</v>
      </c>
      <c r="Z92" s="2"/>
      <c r="AA92" s="2"/>
      <c r="AB92" s="2">
        <f>ROUND(SUMIF(AA85:AA90,"=35007309",O85:O90),2)</f>
        <v>7319.23</v>
      </c>
      <c r="AC92" s="2">
        <f>ROUND(SUMIF(AA85:AA90,"=35007309",P85:P90),2)</f>
        <v>5421.51</v>
      </c>
      <c r="AD92" s="2">
        <f>ROUND(SUMIF(AA85:AA90,"=35007309",Q85:Q90),2)</f>
        <v>53.33</v>
      </c>
      <c r="AE92" s="2">
        <f>ROUND(SUMIF(AA85:AA90,"=35007309",R85:R90),2)</f>
        <v>14.89</v>
      </c>
      <c r="AF92" s="2">
        <f>ROUND(SUMIF(AA85:AA90,"=35007309",S85:S90),2)</f>
        <v>1844.39</v>
      </c>
      <c r="AG92" s="2">
        <f>ROUND(SUMIF(AA85:AA90,"=35007309",T85:T90),2)</f>
        <v>0</v>
      </c>
      <c r="AH92" s="2">
        <f>SUMIF(AA85:AA90,"=35007309",U85:U90)</f>
        <v>8.0267999999999997</v>
      </c>
      <c r="AI92" s="2">
        <f>SUMIF(AA85:AA90,"=35007309",V85:V90)</f>
        <v>4.8000000000000001E-2</v>
      </c>
      <c r="AJ92" s="2">
        <f>ROUND(SUMIF(AA85:AA90,"=35007309",W85:W90),2)</f>
        <v>0</v>
      </c>
      <c r="AK92" s="2">
        <f>ROUND(SUMIF(AA85:AA90,"=35007309",X85:X90),2)</f>
        <v>1506.02</v>
      </c>
      <c r="AL92" s="2">
        <f>ROUND(SUMIF(AA85:AA90,"=35007309",Y85:Y90),2)</f>
        <v>966.82</v>
      </c>
      <c r="AM92" s="2"/>
      <c r="AN92" s="2"/>
      <c r="AO92" s="2">
        <f t="shared" ref="AO92:BC92" si="103">ROUND(BX92,2)</f>
        <v>0</v>
      </c>
      <c r="AP92" s="2">
        <f t="shared" si="103"/>
        <v>0</v>
      </c>
      <c r="AQ92" s="2">
        <f t="shared" si="103"/>
        <v>0</v>
      </c>
      <c r="AR92" s="2">
        <f t="shared" si="103"/>
        <v>9792.07</v>
      </c>
      <c r="AS92" s="2">
        <f t="shared" si="103"/>
        <v>0</v>
      </c>
      <c r="AT92" s="2">
        <f t="shared" si="103"/>
        <v>9792.07</v>
      </c>
      <c r="AU92" s="2">
        <f t="shared" si="103"/>
        <v>0</v>
      </c>
      <c r="AV92" s="2">
        <f t="shared" si="103"/>
        <v>5421.51</v>
      </c>
      <c r="AW92" s="2">
        <f t="shared" si="103"/>
        <v>5421.51</v>
      </c>
      <c r="AX92" s="2">
        <f t="shared" si="103"/>
        <v>0</v>
      </c>
      <c r="AY92" s="2">
        <f t="shared" si="103"/>
        <v>5421.51</v>
      </c>
      <c r="AZ92" s="2">
        <f t="shared" si="103"/>
        <v>0</v>
      </c>
      <c r="BA92" s="2">
        <f t="shared" si="103"/>
        <v>0</v>
      </c>
      <c r="BB92" s="2">
        <f t="shared" si="103"/>
        <v>0</v>
      </c>
      <c r="BC92" s="2">
        <f t="shared" si="103"/>
        <v>0</v>
      </c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>
        <f>ROUND(SUMIF(AA85:AA90,"=35007309",FQ85:FQ90),2)</f>
        <v>0</v>
      </c>
      <c r="BY92" s="2">
        <f>ROUND(SUMIF(AA85:AA90,"=35007309",FR85:FR90),2)</f>
        <v>0</v>
      </c>
      <c r="BZ92" s="2">
        <f>ROUND(SUMIF(AA85:AA90,"=35007309",GL85:GL90),2)</f>
        <v>0</v>
      </c>
      <c r="CA92" s="2">
        <f>ROUND(SUMIF(AA85:AA90,"=35007309",GM85:GM90),2)</f>
        <v>9792.07</v>
      </c>
      <c r="CB92" s="2">
        <f>ROUND(SUMIF(AA85:AA90,"=35007309",GN85:GN90),2)</f>
        <v>0</v>
      </c>
      <c r="CC92" s="2">
        <f>ROUND(SUMIF(AA85:AA90,"=35007309",GO85:GO90),2)</f>
        <v>9792.07</v>
      </c>
      <c r="CD92" s="2">
        <f>ROUND(SUMIF(AA85:AA90,"=35007309",GP85:GP90),2)</f>
        <v>0</v>
      </c>
      <c r="CE92" s="2">
        <f>AC92-BX92</f>
        <v>5421.51</v>
      </c>
      <c r="CF92" s="2">
        <f>AC92-BY92</f>
        <v>5421.51</v>
      </c>
      <c r="CG92" s="2">
        <f>BX92-BZ92</f>
        <v>0</v>
      </c>
      <c r="CH92" s="2">
        <f>AC92-BX92-BY92+BZ92</f>
        <v>5421.51</v>
      </c>
      <c r="CI92" s="2">
        <f>BY92-BZ92</f>
        <v>0</v>
      </c>
      <c r="CJ92" s="2">
        <f>ROUND(SUMIF(AA85:AA90,"=35007309",GX85:GX90),2)</f>
        <v>0</v>
      </c>
      <c r="CK92" s="2">
        <f>ROUND(SUMIF(AA85:AA90,"=35007309",GY85:GY90),2)</f>
        <v>0</v>
      </c>
      <c r="CL92" s="2">
        <f>ROUND(SUMIF(AA85:AA90,"=35007309",GZ85:GZ90),2)</f>
        <v>0</v>
      </c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>
        <v>0</v>
      </c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201</v>
      </c>
      <c r="F94" s="4">
        <f>ROUND(Source!O92,O94)</f>
        <v>7319.23</v>
      </c>
      <c r="G94" s="4" t="s">
        <v>128</v>
      </c>
      <c r="H94" s="4" t="s">
        <v>129</v>
      </c>
      <c r="I94" s="4"/>
      <c r="J94" s="4"/>
      <c r="K94" s="4">
        <v>201</v>
      </c>
      <c r="L94" s="4">
        <v>1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202</v>
      </c>
      <c r="F95" s="4">
        <f>ROUND(Source!P92,O95)</f>
        <v>5421.51</v>
      </c>
      <c r="G95" s="4" t="s">
        <v>130</v>
      </c>
      <c r="H95" s="4" t="s">
        <v>131</v>
      </c>
      <c r="I95" s="4"/>
      <c r="J95" s="4"/>
      <c r="K95" s="4">
        <v>202</v>
      </c>
      <c r="L95" s="4">
        <v>2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222</v>
      </c>
      <c r="F96" s="4">
        <f>ROUND(Source!AO92,O96)</f>
        <v>0</v>
      </c>
      <c r="G96" s="4" t="s">
        <v>132</v>
      </c>
      <c r="H96" s="4" t="s">
        <v>133</v>
      </c>
      <c r="I96" s="4"/>
      <c r="J96" s="4"/>
      <c r="K96" s="4">
        <v>222</v>
      </c>
      <c r="L96" s="4">
        <v>3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3" x14ac:dyDescent="0.2">
      <c r="A97" s="4">
        <v>50</v>
      </c>
      <c r="B97" s="4">
        <v>0</v>
      </c>
      <c r="C97" s="4">
        <v>0</v>
      </c>
      <c r="D97" s="4">
        <v>1</v>
      </c>
      <c r="E97" s="4">
        <v>225</v>
      </c>
      <c r="F97" s="4">
        <f>ROUND(Source!AV92,O97)</f>
        <v>5421.51</v>
      </c>
      <c r="G97" s="4" t="s">
        <v>134</v>
      </c>
      <c r="H97" s="4" t="s">
        <v>135</v>
      </c>
      <c r="I97" s="4"/>
      <c r="J97" s="4"/>
      <c r="K97" s="4">
        <v>225</v>
      </c>
      <c r="L97" s="4">
        <v>4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3" x14ac:dyDescent="0.2">
      <c r="A98" s="4">
        <v>50</v>
      </c>
      <c r="B98" s="4">
        <v>0</v>
      </c>
      <c r="C98" s="4">
        <v>0</v>
      </c>
      <c r="D98" s="4">
        <v>1</v>
      </c>
      <c r="E98" s="4">
        <v>226</v>
      </c>
      <c r="F98" s="4">
        <f>ROUND(Source!AW92,O98)</f>
        <v>5421.51</v>
      </c>
      <c r="G98" s="4" t="s">
        <v>136</v>
      </c>
      <c r="H98" s="4" t="s">
        <v>137</v>
      </c>
      <c r="I98" s="4"/>
      <c r="J98" s="4"/>
      <c r="K98" s="4">
        <v>226</v>
      </c>
      <c r="L98" s="4">
        <v>5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3" x14ac:dyDescent="0.2">
      <c r="A99" s="4">
        <v>50</v>
      </c>
      <c r="B99" s="4">
        <v>0</v>
      </c>
      <c r="C99" s="4">
        <v>0</v>
      </c>
      <c r="D99" s="4">
        <v>1</v>
      </c>
      <c r="E99" s="4">
        <v>227</v>
      </c>
      <c r="F99" s="4">
        <f>ROUND(Source!AX92,O99)</f>
        <v>0</v>
      </c>
      <c r="G99" s="4" t="s">
        <v>138</v>
      </c>
      <c r="H99" s="4" t="s">
        <v>139</v>
      </c>
      <c r="I99" s="4"/>
      <c r="J99" s="4"/>
      <c r="K99" s="4">
        <v>227</v>
      </c>
      <c r="L99" s="4">
        <v>6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3" x14ac:dyDescent="0.2">
      <c r="A100" s="4">
        <v>50</v>
      </c>
      <c r="B100" s="4">
        <v>0</v>
      </c>
      <c r="C100" s="4">
        <v>0</v>
      </c>
      <c r="D100" s="4">
        <v>1</v>
      </c>
      <c r="E100" s="4">
        <v>228</v>
      </c>
      <c r="F100" s="4">
        <f>ROUND(Source!AY92,O100)</f>
        <v>5421.51</v>
      </c>
      <c r="G100" s="4" t="s">
        <v>140</v>
      </c>
      <c r="H100" s="4" t="s">
        <v>141</v>
      </c>
      <c r="I100" s="4"/>
      <c r="J100" s="4"/>
      <c r="K100" s="4">
        <v>228</v>
      </c>
      <c r="L100" s="4">
        <v>7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3" x14ac:dyDescent="0.2">
      <c r="A101" s="4">
        <v>50</v>
      </c>
      <c r="B101" s="4">
        <v>0</v>
      </c>
      <c r="C101" s="4">
        <v>0</v>
      </c>
      <c r="D101" s="4">
        <v>1</v>
      </c>
      <c r="E101" s="4">
        <v>216</v>
      </c>
      <c r="F101" s="4">
        <f>ROUND(Source!AP92,O101)</f>
        <v>0</v>
      </c>
      <c r="G101" s="4" t="s">
        <v>142</v>
      </c>
      <c r="H101" s="4" t="s">
        <v>143</v>
      </c>
      <c r="I101" s="4"/>
      <c r="J101" s="4"/>
      <c r="K101" s="4">
        <v>216</v>
      </c>
      <c r="L101" s="4">
        <v>8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3" x14ac:dyDescent="0.2">
      <c r="A102" s="4">
        <v>50</v>
      </c>
      <c r="B102" s="4">
        <v>0</v>
      </c>
      <c r="C102" s="4">
        <v>0</v>
      </c>
      <c r="D102" s="4">
        <v>1</v>
      </c>
      <c r="E102" s="4">
        <v>223</v>
      </c>
      <c r="F102" s="4">
        <f>ROUND(Source!AQ92,O102)</f>
        <v>0</v>
      </c>
      <c r="G102" s="4" t="s">
        <v>144</v>
      </c>
      <c r="H102" s="4" t="s">
        <v>145</v>
      </c>
      <c r="I102" s="4"/>
      <c r="J102" s="4"/>
      <c r="K102" s="4">
        <v>223</v>
      </c>
      <c r="L102" s="4">
        <v>9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3" x14ac:dyDescent="0.2">
      <c r="A103" s="4">
        <v>50</v>
      </c>
      <c r="B103" s="4">
        <v>0</v>
      </c>
      <c r="C103" s="4">
        <v>0</v>
      </c>
      <c r="D103" s="4">
        <v>1</v>
      </c>
      <c r="E103" s="4">
        <v>229</v>
      </c>
      <c r="F103" s="4">
        <f>ROUND(Source!AZ92,O103)</f>
        <v>0</v>
      </c>
      <c r="G103" s="4" t="s">
        <v>146</v>
      </c>
      <c r="H103" s="4" t="s">
        <v>147</v>
      </c>
      <c r="I103" s="4"/>
      <c r="J103" s="4"/>
      <c r="K103" s="4">
        <v>229</v>
      </c>
      <c r="L103" s="4">
        <v>10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/>
    </row>
    <row r="104" spans="1:23" x14ac:dyDescent="0.2">
      <c r="A104" s="4">
        <v>50</v>
      </c>
      <c r="B104" s="4">
        <v>0</v>
      </c>
      <c r="C104" s="4">
        <v>0</v>
      </c>
      <c r="D104" s="4">
        <v>1</v>
      </c>
      <c r="E104" s="4">
        <v>203</v>
      </c>
      <c r="F104" s="4">
        <f>ROUND(Source!Q92,O104)</f>
        <v>53.33</v>
      </c>
      <c r="G104" s="4" t="s">
        <v>148</v>
      </c>
      <c r="H104" s="4" t="s">
        <v>149</v>
      </c>
      <c r="I104" s="4"/>
      <c r="J104" s="4"/>
      <c r="K104" s="4">
        <v>203</v>
      </c>
      <c r="L104" s="4">
        <v>11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5" spans="1:23" x14ac:dyDescent="0.2">
      <c r="A105" s="4">
        <v>50</v>
      </c>
      <c r="B105" s="4">
        <v>0</v>
      </c>
      <c r="C105" s="4">
        <v>0</v>
      </c>
      <c r="D105" s="4">
        <v>1</v>
      </c>
      <c r="E105" s="4">
        <v>231</v>
      </c>
      <c r="F105" s="4">
        <f>ROUND(Source!BB92,O105)</f>
        <v>0</v>
      </c>
      <c r="G105" s="4" t="s">
        <v>150</v>
      </c>
      <c r="H105" s="4" t="s">
        <v>151</v>
      </c>
      <c r="I105" s="4"/>
      <c r="J105" s="4"/>
      <c r="K105" s="4">
        <v>231</v>
      </c>
      <c r="L105" s="4">
        <v>12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3" x14ac:dyDescent="0.2">
      <c r="A106" s="4">
        <v>50</v>
      </c>
      <c r="B106" s="4">
        <v>0</v>
      </c>
      <c r="C106" s="4">
        <v>0</v>
      </c>
      <c r="D106" s="4">
        <v>1</v>
      </c>
      <c r="E106" s="4">
        <v>204</v>
      </c>
      <c r="F106" s="4">
        <f>ROUND(Source!R92,O106)</f>
        <v>14.89</v>
      </c>
      <c r="G106" s="4" t="s">
        <v>152</v>
      </c>
      <c r="H106" s="4" t="s">
        <v>153</v>
      </c>
      <c r="I106" s="4"/>
      <c r="J106" s="4"/>
      <c r="K106" s="4">
        <v>204</v>
      </c>
      <c r="L106" s="4">
        <v>13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3" x14ac:dyDescent="0.2">
      <c r="A107" s="4">
        <v>50</v>
      </c>
      <c r="B107" s="4">
        <v>0</v>
      </c>
      <c r="C107" s="4">
        <v>0</v>
      </c>
      <c r="D107" s="4">
        <v>1</v>
      </c>
      <c r="E107" s="4">
        <v>205</v>
      </c>
      <c r="F107" s="4">
        <f>ROUND(Source!S92,O107)</f>
        <v>1844.39</v>
      </c>
      <c r="G107" s="4" t="s">
        <v>154</v>
      </c>
      <c r="H107" s="4" t="s">
        <v>155</v>
      </c>
      <c r="I107" s="4"/>
      <c r="J107" s="4"/>
      <c r="K107" s="4">
        <v>205</v>
      </c>
      <c r="L107" s="4">
        <v>14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8" spans="1:23" x14ac:dyDescent="0.2">
      <c r="A108" s="4">
        <v>50</v>
      </c>
      <c r="B108" s="4">
        <v>0</v>
      </c>
      <c r="C108" s="4">
        <v>0</v>
      </c>
      <c r="D108" s="4">
        <v>1</v>
      </c>
      <c r="E108" s="4">
        <v>232</v>
      </c>
      <c r="F108" s="4">
        <f>ROUND(Source!BC92,O108)</f>
        <v>0</v>
      </c>
      <c r="G108" s="4" t="s">
        <v>156</v>
      </c>
      <c r="H108" s="4" t="s">
        <v>157</v>
      </c>
      <c r="I108" s="4"/>
      <c r="J108" s="4"/>
      <c r="K108" s="4">
        <v>232</v>
      </c>
      <c r="L108" s="4">
        <v>15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/>
    </row>
    <row r="109" spans="1:23" x14ac:dyDescent="0.2">
      <c r="A109" s="4">
        <v>50</v>
      </c>
      <c r="B109" s="4">
        <v>0</v>
      </c>
      <c r="C109" s="4">
        <v>0</v>
      </c>
      <c r="D109" s="4">
        <v>1</v>
      </c>
      <c r="E109" s="4">
        <v>214</v>
      </c>
      <c r="F109" s="4">
        <f>ROUND(Source!AS92,O109)</f>
        <v>0</v>
      </c>
      <c r="G109" s="4" t="s">
        <v>158</v>
      </c>
      <c r="H109" s="4" t="s">
        <v>159</v>
      </c>
      <c r="I109" s="4"/>
      <c r="J109" s="4"/>
      <c r="K109" s="4">
        <v>214</v>
      </c>
      <c r="L109" s="4">
        <v>16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/>
    </row>
    <row r="110" spans="1:23" x14ac:dyDescent="0.2">
      <c r="A110" s="4">
        <v>50</v>
      </c>
      <c r="B110" s="4">
        <v>0</v>
      </c>
      <c r="C110" s="4">
        <v>0</v>
      </c>
      <c r="D110" s="4">
        <v>1</v>
      </c>
      <c r="E110" s="4">
        <v>215</v>
      </c>
      <c r="F110" s="4">
        <f>ROUND(Source!AT92,O110)</f>
        <v>9792.07</v>
      </c>
      <c r="G110" s="4" t="s">
        <v>160</v>
      </c>
      <c r="H110" s="4" t="s">
        <v>161</v>
      </c>
      <c r="I110" s="4"/>
      <c r="J110" s="4"/>
      <c r="K110" s="4">
        <v>215</v>
      </c>
      <c r="L110" s="4">
        <v>17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/>
    </row>
    <row r="111" spans="1:23" x14ac:dyDescent="0.2">
      <c r="A111" s="4">
        <v>50</v>
      </c>
      <c r="B111" s="4">
        <v>0</v>
      </c>
      <c r="C111" s="4">
        <v>0</v>
      </c>
      <c r="D111" s="4">
        <v>1</v>
      </c>
      <c r="E111" s="4">
        <v>217</v>
      </c>
      <c r="F111" s="4">
        <f>ROUND(Source!AU92,O111)</f>
        <v>0</v>
      </c>
      <c r="G111" s="4" t="s">
        <v>162</v>
      </c>
      <c r="H111" s="4" t="s">
        <v>163</v>
      </c>
      <c r="I111" s="4"/>
      <c r="J111" s="4"/>
      <c r="K111" s="4">
        <v>217</v>
      </c>
      <c r="L111" s="4">
        <v>18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/>
    </row>
    <row r="112" spans="1:23" x14ac:dyDescent="0.2">
      <c r="A112" s="4">
        <v>50</v>
      </c>
      <c r="B112" s="4">
        <v>0</v>
      </c>
      <c r="C112" s="4">
        <v>0</v>
      </c>
      <c r="D112" s="4">
        <v>1</v>
      </c>
      <c r="E112" s="4">
        <v>230</v>
      </c>
      <c r="F112" s="4">
        <f>ROUND(Source!BA92,O112)</f>
        <v>0</v>
      </c>
      <c r="G112" s="4" t="s">
        <v>164</v>
      </c>
      <c r="H112" s="4" t="s">
        <v>165</v>
      </c>
      <c r="I112" s="4"/>
      <c r="J112" s="4"/>
      <c r="K112" s="4">
        <v>230</v>
      </c>
      <c r="L112" s="4">
        <v>19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206</v>
      </c>
      <c r="F113" s="4">
        <f>ROUND(Source!T92,O113)</f>
        <v>0</v>
      </c>
      <c r="G113" s="4" t="s">
        <v>166</v>
      </c>
      <c r="H113" s="4" t="s">
        <v>167</v>
      </c>
      <c r="I113" s="4"/>
      <c r="J113" s="4"/>
      <c r="K113" s="4">
        <v>206</v>
      </c>
      <c r="L113" s="4">
        <v>20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/>
    </row>
    <row r="114" spans="1:206" x14ac:dyDescent="0.2">
      <c r="A114" s="4">
        <v>50</v>
      </c>
      <c r="B114" s="4">
        <v>0</v>
      </c>
      <c r="C114" s="4">
        <v>0</v>
      </c>
      <c r="D114" s="4">
        <v>1</v>
      </c>
      <c r="E114" s="4">
        <v>207</v>
      </c>
      <c r="F114" s="4">
        <f>Source!U92</f>
        <v>8.0267999999999997</v>
      </c>
      <c r="G114" s="4" t="s">
        <v>168</v>
      </c>
      <c r="H114" s="4" t="s">
        <v>169</v>
      </c>
      <c r="I114" s="4"/>
      <c r="J114" s="4"/>
      <c r="K114" s="4">
        <v>207</v>
      </c>
      <c r="L114" s="4">
        <v>21</v>
      </c>
      <c r="M114" s="4">
        <v>3</v>
      </c>
      <c r="N114" s="4" t="s">
        <v>3</v>
      </c>
      <c r="O114" s="4">
        <v>-1</v>
      </c>
      <c r="P114" s="4"/>
      <c r="Q114" s="4"/>
      <c r="R114" s="4"/>
      <c r="S114" s="4"/>
      <c r="T114" s="4"/>
      <c r="U114" s="4"/>
      <c r="V114" s="4"/>
      <c r="W114" s="4"/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208</v>
      </c>
      <c r="F115" s="4">
        <f>Source!V92</f>
        <v>4.8000000000000001E-2</v>
      </c>
      <c r="G115" s="4" t="s">
        <v>170</v>
      </c>
      <c r="H115" s="4" t="s">
        <v>171</v>
      </c>
      <c r="I115" s="4"/>
      <c r="J115" s="4"/>
      <c r="K115" s="4">
        <v>208</v>
      </c>
      <c r="L115" s="4">
        <v>22</v>
      </c>
      <c r="M115" s="4">
        <v>3</v>
      </c>
      <c r="N115" s="4" t="s">
        <v>3</v>
      </c>
      <c r="O115" s="4">
        <v>-1</v>
      </c>
      <c r="P115" s="4"/>
      <c r="Q115" s="4"/>
      <c r="R115" s="4"/>
      <c r="S115" s="4"/>
      <c r="T115" s="4"/>
      <c r="U115" s="4"/>
      <c r="V115" s="4"/>
      <c r="W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209</v>
      </c>
      <c r="F116" s="4">
        <f>ROUND(Source!W92,O116)</f>
        <v>0</v>
      </c>
      <c r="G116" s="4" t="s">
        <v>172</v>
      </c>
      <c r="H116" s="4" t="s">
        <v>173</v>
      </c>
      <c r="I116" s="4"/>
      <c r="J116" s="4"/>
      <c r="K116" s="4">
        <v>209</v>
      </c>
      <c r="L116" s="4">
        <v>23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210</v>
      </c>
      <c r="F117" s="4">
        <f>ROUND(Source!X92,O117)</f>
        <v>1506.02</v>
      </c>
      <c r="G117" s="4" t="s">
        <v>174</v>
      </c>
      <c r="H117" s="4" t="s">
        <v>175</v>
      </c>
      <c r="I117" s="4"/>
      <c r="J117" s="4"/>
      <c r="K117" s="4">
        <v>210</v>
      </c>
      <c r="L117" s="4">
        <v>24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211</v>
      </c>
      <c r="F118" s="4">
        <f>ROUND(Source!Y92,O118)</f>
        <v>966.82</v>
      </c>
      <c r="G118" s="4" t="s">
        <v>176</v>
      </c>
      <c r="H118" s="4" t="s">
        <v>177</v>
      </c>
      <c r="I118" s="4"/>
      <c r="J118" s="4"/>
      <c r="K118" s="4">
        <v>211</v>
      </c>
      <c r="L118" s="4">
        <v>25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224</v>
      </c>
      <c r="F119" s="4">
        <f>ROUND(Source!AR92,O119)</f>
        <v>9792.07</v>
      </c>
      <c r="G119" s="4" t="s">
        <v>178</v>
      </c>
      <c r="H119" s="4" t="s">
        <v>179</v>
      </c>
      <c r="I119" s="4"/>
      <c r="J119" s="4"/>
      <c r="K119" s="4">
        <v>224</v>
      </c>
      <c r="L119" s="4">
        <v>26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1" spans="1:206" x14ac:dyDescent="0.2">
      <c r="A121" s="2">
        <v>51</v>
      </c>
      <c r="B121" s="2">
        <f>B20</f>
        <v>1</v>
      </c>
      <c r="C121" s="2">
        <f>A20</f>
        <v>3</v>
      </c>
      <c r="D121" s="2">
        <f>ROW(A20)</f>
        <v>20</v>
      </c>
      <c r="E121" s="2"/>
      <c r="F121" s="2" t="str">
        <f>IF(F20&lt;&gt;"",F20,"")</f>
        <v>04-01-01</v>
      </c>
      <c r="G121" s="2" t="str">
        <f>IF(G20&lt;&gt;"",G20,"")</f>
        <v>Присоединенение РУ 0,4 кВ</v>
      </c>
      <c r="H121" s="2">
        <v>0</v>
      </c>
      <c r="I121" s="2"/>
      <c r="J121" s="2"/>
      <c r="K121" s="2"/>
      <c r="L121" s="2"/>
      <c r="M121" s="2"/>
      <c r="N121" s="2"/>
      <c r="O121" s="2">
        <f t="shared" ref="O121:T121" si="104">ROUND(O52+O92+AB121,2)</f>
        <v>148348.07999999999</v>
      </c>
      <c r="P121" s="2">
        <f t="shared" si="104"/>
        <v>114158.48</v>
      </c>
      <c r="Q121" s="2">
        <f t="shared" si="104"/>
        <v>817.05</v>
      </c>
      <c r="R121" s="2">
        <f t="shared" si="104"/>
        <v>239.15</v>
      </c>
      <c r="S121" s="2">
        <f t="shared" si="104"/>
        <v>33372.550000000003</v>
      </c>
      <c r="T121" s="2">
        <f t="shared" si="104"/>
        <v>0</v>
      </c>
      <c r="U121" s="2">
        <f>U52+U92+AH121</f>
        <v>146.99168000000003</v>
      </c>
      <c r="V121" s="2">
        <f>V52+V92+AI121</f>
        <v>0.76433000000000006</v>
      </c>
      <c r="W121" s="2">
        <f>ROUND(W52+W92+AJ121,2)</f>
        <v>0</v>
      </c>
      <c r="X121" s="2">
        <f>ROUND(X52+X92+AK121,2)</f>
        <v>26762.09</v>
      </c>
      <c r="Y121" s="2">
        <f>ROUND(Y52+Y92+AL121,2)</f>
        <v>16893.759999999998</v>
      </c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>
        <f t="shared" ref="AO121:BC121" si="105">ROUND(AO52+AO92+BX121,2)</f>
        <v>8730.1299999999992</v>
      </c>
      <c r="AP121" s="2">
        <f t="shared" si="105"/>
        <v>0</v>
      </c>
      <c r="AQ121" s="2">
        <f t="shared" si="105"/>
        <v>0</v>
      </c>
      <c r="AR121" s="2">
        <f t="shared" si="105"/>
        <v>192003.93</v>
      </c>
      <c r="AS121" s="2">
        <f t="shared" si="105"/>
        <v>33267.96</v>
      </c>
      <c r="AT121" s="2">
        <f t="shared" si="105"/>
        <v>158735.97</v>
      </c>
      <c r="AU121" s="2">
        <f t="shared" si="105"/>
        <v>0</v>
      </c>
      <c r="AV121" s="2">
        <f t="shared" si="105"/>
        <v>105428.35</v>
      </c>
      <c r="AW121" s="2">
        <f t="shared" si="105"/>
        <v>114158.48</v>
      </c>
      <c r="AX121" s="2">
        <f t="shared" si="105"/>
        <v>8730.1299999999992</v>
      </c>
      <c r="AY121" s="2">
        <f t="shared" si="105"/>
        <v>105428.35</v>
      </c>
      <c r="AZ121" s="2">
        <f t="shared" si="105"/>
        <v>0</v>
      </c>
      <c r="BA121" s="2">
        <f t="shared" si="105"/>
        <v>0</v>
      </c>
      <c r="BB121" s="2">
        <f t="shared" si="105"/>
        <v>0</v>
      </c>
      <c r="BC121" s="2">
        <f t="shared" si="105"/>
        <v>0</v>
      </c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>
        <v>0</v>
      </c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201</v>
      </c>
      <c r="F123" s="4">
        <f>ROUND(Source!O121,O123)</f>
        <v>148348.07999999999</v>
      </c>
      <c r="G123" s="4" t="s">
        <v>128</v>
      </c>
      <c r="H123" s="4" t="s">
        <v>129</v>
      </c>
      <c r="I123" s="4"/>
      <c r="J123" s="4"/>
      <c r="K123" s="4">
        <v>201</v>
      </c>
      <c r="L123" s="4">
        <v>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06" x14ac:dyDescent="0.2">
      <c r="A124" s="4">
        <v>50</v>
      </c>
      <c r="B124" s="4">
        <v>0</v>
      </c>
      <c r="C124" s="4">
        <v>0</v>
      </c>
      <c r="D124" s="4">
        <v>1</v>
      </c>
      <c r="E124" s="4">
        <v>202</v>
      </c>
      <c r="F124" s="4">
        <f>ROUND(Source!P121,O124)</f>
        <v>114158.48</v>
      </c>
      <c r="G124" s="4" t="s">
        <v>130</v>
      </c>
      <c r="H124" s="4" t="s">
        <v>131</v>
      </c>
      <c r="I124" s="4"/>
      <c r="J124" s="4"/>
      <c r="K124" s="4">
        <v>202</v>
      </c>
      <c r="L124" s="4">
        <v>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06" x14ac:dyDescent="0.2">
      <c r="A125" s="4">
        <v>50</v>
      </c>
      <c r="B125" s="4">
        <v>0</v>
      </c>
      <c r="C125" s="4">
        <v>0</v>
      </c>
      <c r="D125" s="4">
        <v>1</v>
      </c>
      <c r="E125" s="4">
        <v>30781752</v>
      </c>
      <c r="F125" s="4">
        <f>ROUND(Source!AO121,O125)</f>
        <v>8730.1299999999992</v>
      </c>
      <c r="G125" s="4" t="s">
        <v>132</v>
      </c>
      <c r="H125" s="4" t="s">
        <v>133</v>
      </c>
      <c r="I125" s="4"/>
      <c r="J125" s="4"/>
      <c r="K125" s="4">
        <v>222</v>
      </c>
      <c r="L125" s="4">
        <v>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06" x14ac:dyDescent="0.2">
      <c r="A126" s="4">
        <v>50</v>
      </c>
      <c r="B126" s="4">
        <v>0</v>
      </c>
      <c r="C126" s="4">
        <v>0</v>
      </c>
      <c r="D126" s="4">
        <v>1</v>
      </c>
      <c r="E126" s="4">
        <v>225</v>
      </c>
      <c r="F126" s="4">
        <f>ROUND(Source!AV121,O126)</f>
        <v>105428.35</v>
      </c>
      <c r="G126" s="4" t="s">
        <v>134</v>
      </c>
      <c r="H126" s="4" t="s">
        <v>135</v>
      </c>
      <c r="I126" s="4"/>
      <c r="J126" s="4"/>
      <c r="K126" s="4">
        <v>225</v>
      </c>
      <c r="L126" s="4">
        <v>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06" x14ac:dyDescent="0.2">
      <c r="A127" s="4">
        <v>50</v>
      </c>
      <c r="B127" s="4">
        <v>0</v>
      </c>
      <c r="C127" s="4">
        <v>0</v>
      </c>
      <c r="D127" s="4">
        <v>1</v>
      </c>
      <c r="E127" s="4">
        <v>226</v>
      </c>
      <c r="F127" s="4">
        <f>ROUND(Source!AW121,O127)</f>
        <v>114158.48</v>
      </c>
      <c r="G127" s="4" t="s">
        <v>136</v>
      </c>
      <c r="H127" s="4" t="s">
        <v>137</v>
      </c>
      <c r="I127" s="4"/>
      <c r="J127" s="4"/>
      <c r="K127" s="4">
        <v>226</v>
      </c>
      <c r="L127" s="4">
        <v>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06" x14ac:dyDescent="0.2">
      <c r="A128" s="4">
        <v>50</v>
      </c>
      <c r="B128" s="4">
        <v>1</v>
      </c>
      <c r="C128" s="4">
        <v>0</v>
      </c>
      <c r="D128" s="4">
        <v>1</v>
      </c>
      <c r="E128" s="4">
        <v>227</v>
      </c>
      <c r="F128" s="4">
        <f>ROUND(Source!AX121,O128)</f>
        <v>8730.1299999999992</v>
      </c>
      <c r="G128" s="4" t="s">
        <v>138</v>
      </c>
      <c r="H128" s="4" t="s">
        <v>139</v>
      </c>
      <c r="I128" s="4"/>
      <c r="J128" s="4"/>
      <c r="K128" s="4">
        <v>227</v>
      </c>
      <c r="L128" s="4">
        <v>6</v>
      </c>
      <c r="M128" s="4">
        <v>0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1</v>
      </c>
      <c r="E129" s="4">
        <v>228</v>
      </c>
      <c r="F129" s="4">
        <f>ROUND(Source!AY121,O129)</f>
        <v>105428.35</v>
      </c>
      <c r="G129" s="4" t="s">
        <v>140</v>
      </c>
      <c r="H129" s="4" t="s">
        <v>141</v>
      </c>
      <c r="I129" s="4"/>
      <c r="J129" s="4"/>
      <c r="K129" s="4">
        <v>228</v>
      </c>
      <c r="L129" s="4">
        <v>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1</v>
      </c>
      <c r="E130" s="4">
        <v>216</v>
      </c>
      <c r="F130" s="4">
        <f>ROUND(Source!AP121,O130)</f>
        <v>0</v>
      </c>
      <c r="G130" s="4" t="s">
        <v>142</v>
      </c>
      <c r="H130" s="4" t="s">
        <v>143</v>
      </c>
      <c r="I130" s="4"/>
      <c r="J130" s="4"/>
      <c r="K130" s="4">
        <v>216</v>
      </c>
      <c r="L130" s="4">
        <v>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1</v>
      </c>
      <c r="E131" s="4">
        <v>223</v>
      </c>
      <c r="F131" s="4">
        <f>ROUND(Source!AQ121,O131)</f>
        <v>0</v>
      </c>
      <c r="G131" s="4" t="s">
        <v>144</v>
      </c>
      <c r="H131" s="4" t="s">
        <v>145</v>
      </c>
      <c r="I131" s="4"/>
      <c r="J131" s="4"/>
      <c r="K131" s="4">
        <v>223</v>
      </c>
      <c r="L131" s="4">
        <v>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1</v>
      </c>
      <c r="E132" s="4">
        <v>229</v>
      </c>
      <c r="F132" s="4">
        <f>ROUND(Source!AZ121,O132)</f>
        <v>0</v>
      </c>
      <c r="G132" s="4" t="s">
        <v>146</v>
      </c>
      <c r="H132" s="4" t="s">
        <v>147</v>
      </c>
      <c r="I132" s="4"/>
      <c r="J132" s="4"/>
      <c r="K132" s="4">
        <v>229</v>
      </c>
      <c r="L132" s="4">
        <v>10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1</v>
      </c>
      <c r="E133" s="4">
        <v>203</v>
      </c>
      <c r="F133" s="4">
        <f>ROUND(Source!Q121,O133)</f>
        <v>817.05</v>
      </c>
      <c r="G133" s="4" t="s">
        <v>148</v>
      </c>
      <c r="H133" s="4" t="s">
        <v>149</v>
      </c>
      <c r="I133" s="4"/>
      <c r="J133" s="4"/>
      <c r="K133" s="4">
        <v>203</v>
      </c>
      <c r="L133" s="4">
        <v>11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1</v>
      </c>
      <c r="E134" s="4">
        <v>231</v>
      </c>
      <c r="F134" s="4">
        <f>ROUND(Source!BB121,O134)</f>
        <v>0</v>
      </c>
      <c r="G134" s="4" t="s">
        <v>150</v>
      </c>
      <c r="H134" s="4" t="s">
        <v>151</v>
      </c>
      <c r="I134" s="4"/>
      <c r="J134" s="4"/>
      <c r="K134" s="4">
        <v>231</v>
      </c>
      <c r="L134" s="4">
        <v>12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1</v>
      </c>
      <c r="E135" s="4">
        <v>204</v>
      </c>
      <c r="F135" s="4">
        <f>ROUND(Source!R121,O135)</f>
        <v>239.15</v>
      </c>
      <c r="G135" s="4" t="s">
        <v>152</v>
      </c>
      <c r="H135" s="4" t="s">
        <v>153</v>
      </c>
      <c r="I135" s="4"/>
      <c r="J135" s="4"/>
      <c r="K135" s="4">
        <v>204</v>
      </c>
      <c r="L135" s="4">
        <v>13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1</v>
      </c>
      <c r="E136" s="4">
        <v>205</v>
      </c>
      <c r="F136" s="4">
        <f>ROUND(Source!S121,O136)</f>
        <v>33372.550000000003</v>
      </c>
      <c r="G136" s="4" t="s">
        <v>154</v>
      </c>
      <c r="H136" s="4" t="s">
        <v>155</v>
      </c>
      <c r="I136" s="4"/>
      <c r="J136" s="4"/>
      <c r="K136" s="4">
        <v>205</v>
      </c>
      <c r="L136" s="4">
        <v>14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1</v>
      </c>
      <c r="E137" s="4">
        <v>232</v>
      </c>
      <c r="F137" s="4">
        <f>ROUND(Source!BC121,O137)</f>
        <v>0</v>
      </c>
      <c r="G137" s="4" t="s">
        <v>156</v>
      </c>
      <c r="H137" s="4" t="s">
        <v>157</v>
      </c>
      <c r="I137" s="4"/>
      <c r="J137" s="4"/>
      <c r="K137" s="4">
        <v>232</v>
      </c>
      <c r="L137" s="4">
        <v>15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1</v>
      </c>
      <c r="E138" s="4">
        <v>214</v>
      </c>
      <c r="F138" s="4">
        <f>ROUND(Source!AS121,O138)</f>
        <v>33267.96</v>
      </c>
      <c r="G138" s="4" t="s">
        <v>158</v>
      </c>
      <c r="H138" s="4" t="s">
        <v>159</v>
      </c>
      <c r="I138" s="4"/>
      <c r="J138" s="4"/>
      <c r="K138" s="4">
        <v>214</v>
      </c>
      <c r="L138" s="4">
        <v>16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1</v>
      </c>
      <c r="E139" s="4">
        <v>215</v>
      </c>
      <c r="F139" s="4">
        <f>ROUND(Source!AT121,O139)</f>
        <v>158735.97</v>
      </c>
      <c r="G139" s="4" t="s">
        <v>160</v>
      </c>
      <c r="H139" s="4" t="s">
        <v>161</v>
      </c>
      <c r="I139" s="4"/>
      <c r="J139" s="4"/>
      <c r="K139" s="4">
        <v>215</v>
      </c>
      <c r="L139" s="4">
        <v>17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1</v>
      </c>
      <c r="E140" s="4">
        <v>217</v>
      </c>
      <c r="F140" s="4">
        <f>ROUND(Source!AU121,O140)</f>
        <v>0</v>
      </c>
      <c r="G140" s="4" t="s">
        <v>162</v>
      </c>
      <c r="H140" s="4" t="s">
        <v>163</v>
      </c>
      <c r="I140" s="4"/>
      <c r="J140" s="4"/>
      <c r="K140" s="4">
        <v>217</v>
      </c>
      <c r="L140" s="4">
        <v>18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1</v>
      </c>
      <c r="E141" s="4">
        <v>230</v>
      </c>
      <c r="F141" s="4">
        <f>ROUND(Source!BA121,O141)</f>
        <v>0</v>
      </c>
      <c r="G141" s="4" t="s">
        <v>164</v>
      </c>
      <c r="H141" s="4" t="s">
        <v>165</v>
      </c>
      <c r="I141" s="4"/>
      <c r="J141" s="4"/>
      <c r="K141" s="4">
        <v>230</v>
      </c>
      <c r="L141" s="4">
        <v>19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1</v>
      </c>
      <c r="E142" s="4">
        <v>206</v>
      </c>
      <c r="F142" s="4">
        <f>ROUND(Source!T121,O142)</f>
        <v>0</v>
      </c>
      <c r="G142" s="4" t="s">
        <v>166</v>
      </c>
      <c r="H142" s="4" t="s">
        <v>167</v>
      </c>
      <c r="I142" s="4"/>
      <c r="J142" s="4"/>
      <c r="K142" s="4">
        <v>206</v>
      </c>
      <c r="L142" s="4">
        <v>20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1</v>
      </c>
      <c r="E143" s="4">
        <v>207</v>
      </c>
      <c r="F143" s="4">
        <f>Source!U121</f>
        <v>146.99168000000003</v>
      </c>
      <c r="G143" s="4" t="s">
        <v>168</v>
      </c>
      <c r="H143" s="4" t="s">
        <v>169</v>
      </c>
      <c r="I143" s="4"/>
      <c r="J143" s="4"/>
      <c r="K143" s="4">
        <v>207</v>
      </c>
      <c r="L143" s="4">
        <v>21</v>
      </c>
      <c r="M143" s="4">
        <v>3</v>
      </c>
      <c r="N143" s="4" t="s">
        <v>3</v>
      </c>
      <c r="O143" s="4">
        <v>-1</v>
      </c>
      <c r="P143" s="4"/>
      <c r="Q143" s="4"/>
      <c r="R143" s="4"/>
      <c r="S143" s="4"/>
      <c r="T143" s="4"/>
      <c r="U143" s="4"/>
      <c r="V143" s="4"/>
      <c r="W143" s="4"/>
    </row>
    <row r="144" spans="1:23" x14ac:dyDescent="0.2">
      <c r="A144" s="4">
        <v>50</v>
      </c>
      <c r="B144" s="4">
        <v>0</v>
      </c>
      <c r="C144" s="4">
        <v>0</v>
      </c>
      <c r="D144" s="4">
        <v>1</v>
      </c>
      <c r="E144" s="4">
        <v>208</v>
      </c>
      <c r="F144" s="4">
        <f>Source!V121</f>
        <v>0.76433000000000006</v>
      </c>
      <c r="G144" s="4" t="s">
        <v>170</v>
      </c>
      <c r="H144" s="4" t="s">
        <v>171</v>
      </c>
      <c r="I144" s="4"/>
      <c r="J144" s="4"/>
      <c r="K144" s="4">
        <v>208</v>
      </c>
      <c r="L144" s="4">
        <v>22</v>
      </c>
      <c r="M144" s="4">
        <v>3</v>
      </c>
      <c r="N144" s="4" t="s">
        <v>3</v>
      </c>
      <c r="O144" s="4">
        <v>-1</v>
      </c>
      <c r="P144" s="4"/>
      <c r="Q144" s="4"/>
      <c r="R144" s="4"/>
      <c r="S144" s="4"/>
      <c r="T144" s="4"/>
      <c r="U144" s="4"/>
      <c r="V144" s="4"/>
      <c r="W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209</v>
      </c>
      <c r="F145" s="4">
        <f>ROUND(Source!W121,O145)</f>
        <v>0</v>
      </c>
      <c r="G145" s="4" t="s">
        <v>172</v>
      </c>
      <c r="H145" s="4" t="s">
        <v>173</v>
      </c>
      <c r="I145" s="4"/>
      <c r="J145" s="4"/>
      <c r="K145" s="4">
        <v>209</v>
      </c>
      <c r="L145" s="4">
        <v>23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210</v>
      </c>
      <c r="F146" s="4">
        <f>ROUND(Source!X121,O146)</f>
        <v>26762.09</v>
      </c>
      <c r="G146" s="4" t="s">
        <v>174</v>
      </c>
      <c r="H146" s="4" t="s">
        <v>175</v>
      </c>
      <c r="I146" s="4"/>
      <c r="J146" s="4"/>
      <c r="K146" s="4">
        <v>210</v>
      </c>
      <c r="L146" s="4">
        <v>24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211</v>
      </c>
      <c r="F147" s="4">
        <f>ROUND(Source!Y121,O147)</f>
        <v>16893.759999999998</v>
      </c>
      <c r="G147" s="4" t="s">
        <v>176</v>
      </c>
      <c r="H147" s="4" t="s">
        <v>177</v>
      </c>
      <c r="I147" s="4"/>
      <c r="J147" s="4"/>
      <c r="K147" s="4">
        <v>211</v>
      </c>
      <c r="L147" s="4">
        <v>25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45" x14ac:dyDescent="0.2">
      <c r="A148" s="4">
        <v>50</v>
      </c>
      <c r="B148" s="4">
        <v>0</v>
      </c>
      <c r="C148" s="4">
        <v>0</v>
      </c>
      <c r="D148" s="4">
        <v>1</v>
      </c>
      <c r="E148" s="4">
        <v>224</v>
      </c>
      <c r="F148" s="40">
        <f>ROUND(Source!AR121,O148)</f>
        <v>192003.93</v>
      </c>
      <c r="G148" s="4" t="s">
        <v>178</v>
      </c>
      <c r="H148" s="4" t="s">
        <v>179</v>
      </c>
      <c r="I148" s="4"/>
      <c r="J148" s="4"/>
      <c r="K148" s="4">
        <v>224</v>
      </c>
      <c r="L148" s="4">
        <v>26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45" x14ac:dyDescent="0.2">
      <c r="A149" s="4">
        <v>50</v>
      </c>
      <c r="B149" s="4">
        <v>1</v>
      </c>
      <c r="C149" s="4">
        <v>0</v>
      </c>
      <c r="D149" s="4">
        <v>2</v>
      </c>
      <c r="E149" s="4">
        <v>0</v>
      </c>
      <c r="F149" s="40">
        <f>ROUND(F148-F128,O149)</f>
        <v>183273.8</v>
      </c>
      <c r="G149" s="4" t="s">
        <v>199</v>
      </c>
      <c r="H149" s="4" t="s">
        <v>418</v>
      </c>
      <c r="I149" s="4"/>
      <c r="J149" s="4"/>
      <c r="K149" s="4">
        <v>212</v>
      </c>
      <c r="L149" s="4">
        <v>27</v>
      </c>
      <c r="M149" s="4">
        <v>0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1" spans="1:245" x14ac:dyDescent="0.2">
      <c r="A151" s="1">
        <v>3</v>
      </c>
      <c r="B151" s="1">
        <v>1</v>
      </c>
      <c r="C151" s="1"/>
      <c r="D151" s="1">
        <f>ROW(A229)</f>
        <v>229</v>
      </c>
      <c r="E151" s="1"/>
      <c r="F151" s="41" t="s">
        <v>419</v>
      </c>
      <c r="G151" s="1" t="s">
        <v>201</v>
      </c>
      <c r="H151" s="1" t="s">
        <v>3</v>
      </c>
      <c r="I151" s="1">
        <v>0</v>
      </c>
      <c r="J151" s="1" t="s">
        <v>417</v>
      </c>
      <c r="K151" s="1">
        <v>0</v>
      </c>
      <c r="L151" s="1" t="s">
        <v>3</v>
      </c>
      <c r="M151" s="1"/>
      <c r="N151" s="1"/>
      <c r="O151" s="1"/>
      <c r="P151" s="1"/>
      <c r="Q151" s="1"/>
      <c r="R151" s="1"/>
      <c r="S151" s="1"/>
      <c r="T151" s="1"/>
      <c r="U151" s="1" t="s">
        <v>3</v>
      </c>
      <c r="V151" s="1">
        <v>0</v>
      </c>
      <c r="W151" s="1"/>
      <c r="X151" s="1"/>
      <c r="Y151" s="1"/>
      <c r="Z151" s="1"/>
      <c r="AA151" s="1"/>
      <c r="AB151" s="1" t="s">
        <v>3</v>
      </c>
      <c r="AC151" s="1" t="s">
        <v>3</v>
      </c>
      <c r="AD151" s="1" t="s">
        <v>3</v>
      </c>
      <c r="AE151" s="1" t="s">
        <v>3</v>
      </c>
      <c r="AF151" s="1" t="s">
        <v>3</v>
      </c>
      <c r="AG151" s="1" t="s">
        <v>3</v>
      </c>
      <c r="AH151" s="1"/>
      <c r="AI151" s="1"/>
      <c r="AJ151" s="1"/>
      <c r="AK151" s="1"/>
      <c r="AL151" s="1"/>
      <c r="AM151" s="1"/>
      <c r="AN151" s="1"/>
      <c r="AO151" s="1"/>
      <c r="AP151" s="1" t="s">
        <v>3</v>
      </c>
      <c r="AQ151" s="1" t="s">
        <v>3</v>
      </c>
      <c r="AR151" s="1" t="s">
        <v>3</v>
      </c>
      <c r="AS151" s="1"/>
      <c r="AT151" s="1"/>
      <c r="AU151" s="1"/>
      <c r="AV151" s="1"/>
      <c r="AW151" s="1"/>
      <c r="AX151" s="1"/>
      <c r="AY151" s="1"/>
      <c r="AZ151" s="1" t="s">
        <v>3</v>
      </c>
      <c r="BA151" s="1"/>
      <c r="BB151" s="1" t="s">
        <v>3</v>
      </c>
      <c r="BC151" s="1" t="s">
        <v>3</v>
      </c>
      <c r="BD151" s="1" t="s">
        <v>3</v>
      </c>
      <c r="BE151" s="1" t="s">
        <v>3</v>
      </c>
      <c r="BF151" s="1" t="s">
        <v>3</v>
      </c>
      <c r="BG151" s="1" t="s">
        <v>3</v>
      </c>
      <c r="BH151" s="1" t="s">
        <v>3</v>
      </c>
      <c r="BI151" s="1" t="s">
        <v>3</v>
      </c>
      <c r="BJ151" s="1" t="s">
        <v>3</v>
      </c>
      <c r="BK151" s="1" t="s">
        <v>3</v>
      </c>
      <c r="BL151" s="1" t="s">
        <v>3</v>
      </c>
      <c r="BM151" s="1" t="s">
        <v>3</v>
      </c>
      <c r="BN151" s="1" t="s">
        <v>3</v>
      </c>
      <c r="BO151" s="1" t="s">
        <v>3</v>
      </c>
      <c r="BP151" s="1" t="s">
        <v>3</v>
      </c>
      <c r="BQ151" s="1"/>
      <c r="BR151" s="1"/>
      <c r="BS151" s="1"/>
      <c r="BT151" s="1"/>
      <c r="BU151" s="1"/>
      <c r="BV151" s="1"/>
      <c r="BW151" s="1"/>
      <c r="BX151" s="1">
        <v>0</v>
      </c>
      <c r="BY151" s="1"/>
      <c r="BZ151" s="1"/>
      <c r="CA151" s="1"/>
      <c r="CB151" s="1"/>
      <c r="CC151" s="1"/>
      <c r="CD151" s="1"/>
      <c r="CE151" s="1"/>
      <c r="CF151" s="1">
        <v>0</v>
      </c>
      <c r="CG151" s="1">
        <v>0</v>
      </c>
      <c r="CH151" s="1"/>
      <c r="CI151" s="1" t="s">
        <v>3</v>
      </c>
      <c r="CJ151" s="1" t="s">
        <v>3</v>
      </c>
    </row>
    <row r="153" spans="1:245" x14ac:dyDescent="0.2">
      <c r="A153" s="2">
        <v>52</v>
      </c>
      <c r="B153" s="2">
        <f t="shared" ref="B153:G153" si="106">B229</f>
        <v>1</v>
      </c>
      <c r="C153" s="2">
        <f t="shared" si="106"/>
        <v>3</v>
      </c>
      <c r="D153" s="2">
        <f t="shared" si="106"/>
        <v>151</v>
      </c>
      <c r="E153" s="2">
        <f t="shared" si="106"/>
        <v>0</v>
      </c>
      <c r="F153" s="2" t="str">
        <f t="shared" si="106"/>
        <v>09-01-01</v>
      </c>
      <c r="G153" s="2">
        <f t="shared" si="106"/>
        <v>0</v>
      </c>
      <c r="H153" s="2"/>
      <c r="I153" s="2"/>
      <c r="J153" s="2"/>
      <c r="K153" s="2"/>
      <c r="L153" s="2"/>
      <c r="M153" s="2"/>
      <c r="N153" s="2"/>
      <c r="O153" s="2">
        <f t="shared" ref="O153:AT153" si="107">O229</f>
        <v>10680.04</v>
      </c>
      <c r="P153" s="2">
        <f t="shared" si="107"/>
        <v>0</v>
      </c>
      <c r="Q153" s="2">
        <f t="shared" si="107"/>
        <v>0</v>
      </c>
      <c r="R153" s="2">
        <f t="shared" si="107"/>
        <v>0</v>
      </c>
      <c r="S153" s="2">
        <f t="shared" si="107"/>
        <v>10680.04</v>
      </c>
      <c r="T153" s="2">
        <f t="shared" si="107"/>
        <v>0</v>
      </c>
      <c r="U153" s="2">
        <f t="shared" si="107"/>
        <v>36.033999999999999</v>
      </c>
      <c r="V153" s="2">
        <f t="shared" si="107"/>
        <v>0</v>
      </c>
      <c r="W153" s="2">
        <f t="shared" si="107"/>
        <v>0</v>
      </c>
      <c r="X153" s="2">
        <f t="shared" si="107"/>
        <v>5874.02</v>
      </c>
      <c r="Y153" s="2">
        <f t="shared" si="107"/>
        <v>3417.61</v>
      </c>
      <c r="Z153" s="2">
        <f t="shared" si="107"/>
        <v>0</v>
      </c>
      <c r="AA153" s="2">
        <f t="shared" si="107"/>
        <v>0</v>
      </c>
      <c r="AB153" s="2">
        <f t="shared" si="107"/>
        <v>0</v>
      </c>
      <c r="AC153" s="2">
        <f t="shared" si="107"/>
        <v>0</v>
      </c>
      <c r="AD153" s="2">
        <f t="shared" si="107"/>
        <v>0</v>
      </c>
      <c r="AE153" s="2">
        <f t="shared" si="107"/>
        <v>0</v>
      </c>
      <c r="AF153" s="2">
        <f t="shared" si="107"/>
        <v>0</v>
      </c>
      <c r="AG153" s="2">
        <f t="shared" si="107"/>
        <v>0</v>
      </c>
      <c r="AH153" s="2">
        <f t="shared" si="107"/>
        <v>0</v>
      </c>
      <c r="AI153" s="2">
        <f t="shared" si="107"/>
        <v>0</v>
      </c>
      <c r="AJ153" s="2">
        <f t="shared" si="107"/>
        <v>0</v>
      </c>
      <c r="AK153" s="2">
        <f t="shared" si="107"/>
        <v>0</v>
      </c>
      <c r="AL153" s="2">
        <f t="shared" si="107"/>
        <v>0</v>
      </c>
      <c r="AM153" s="2">
        <f t="shared" si="107"/>
        <v>0</v>
      </c>
      <c r="AN153" s="2">
        <f t="shared" si="107"/>
        <v>0</v>
      </c>
      <c r="AO153" s="2">
        <f t="shared" si="107"/>
        <v>0</v>
      </c>
      <c r="AP153" s="2">
        <f t="shared" si="107"/>
        <v>0</v>
      </c>
      <c r="AQ153" s="2">
        <f t="shared" si="107"/>
        <v>0</v>
      </c>
      <c r="AR153" s="2">
        <f t="shared" si="107"/>
        <v>19971.669999999998</v>
      </c>
      <c r="AS153" s="2">
        <f t="shared" si="107"/>
        <v>0</v>
      </c>
      <c r="AT153" s="2">
        <f t="shared" si="107"/>
        <v>0</v>
      </c>
      <c r="AU153" s="2">
        <f t="shared" ref="AU153:BZ153" si="108">AU229</f>
        <v>19971.669999999998</v>
      </c>
      <c r="AV153" s="2">
        <f t="shared" si="108"/>
        <v>0</v>
      </c>
      <c r="AW153" s="2">
        <f t="shared" si="108"/>
        <v>0</v>
      </c>
      <c r="AX153" s="2">
        <f t="shared" si="108"/>
        <v>0</v>
      </c>
      <c r="AY153" s="2">
        <f t="shared" si="108"/>
        <v>0</v>
      </c>
      <c r="AZ153" s="2">
        <f t="shared" si="108"/>
        <v>0</v>
      </c>
      <c r="BA153" s="2">
        <f t="shared" si="108"/>
        <v>0</v>
      </c>
      <c r="BB153" s="2">
        <f t="shared" si="108"/>
        <v>0</v>
      </c>
      <c r="BC153" s="2">
        <f t="shared" si="108"/>
        <v>0</v>
      </c>
      <c r="BD153" s="2">
        <f t="shared" si="108"/>
        <v>0</v>
      </c>
      <c r="BE153" s="2">
        <f t="shared" si="108"/>
        <v>0</v>
      </c>
      <c r="BF153" s="2">
        <f t="shared" si="108"/>
        <v>0</v>
      </c>
      <c r="BG153" s="2">
        <f t="shared" si="108"/>
        <v>0</v>
      </c>
      <c r="BH153" s="2">
        <f t="shared" si="108"/>
        <v>0</v>
      </c>
      <c r="BI153" s="2">
        <f t="shared" si="108"/>
        <v>0</v>
      </c>
      <c r="BJ153" s="2">
        <f t="shared" si="108"/>
        <v>0</v>
      </c>
      <c r="BK153" s="2">
        <f t="shared" si="108"/>
        <v>0</v>
      </c>
      <c r="BL153" s="2">
        <f t="shared" si="108"/>
        <v>0</v>
      </c>
      <c r="BM153" s="2">
        <f t="shared" si="108"/>
        <v>0</v>
      </c>
      <c r="BN153" s="2">
        <f t="shared" si="108"/>
        <v>0</v>
      </c>
      <c r="BO153" s="2">
        <f t="shared" si="108"/>
        <v>0</v>
      </c>
      <c r="BP153" s="2">
        <f t="shared" si="108"/>
        <v>0</v>
      </c>
      <c r="BQ153" s="2">
        <f t="shared" si="108"/>
        <v>0</v>
      </c>
      <c r="BR153" s="2">
        <f t="shared" si="108"/>
        <v>0</v>
      </c>
      <c r="BS153" s="2">
        <f t="shared" si="108"/>
        <v>0</v>
      </c>
      <c r="BT153" s="2">
        <f t="shared" si="108"/>
        <v>0</v>
      </c>
      <c r="BU153" s="2">
        <f t="shared" si="108"/>
        <v>0</v>
      </c>
      <c r="BV153" s="2">
        <f t="shared" si="108"/>
        <v>0</v>
      </c>
      <c r="BW153" s="2">
        <f t="shared" si="108"/>
        <v>0</v>
      </c>
      <c r="BX153" s="2">
        <f t="shared" si="108"/>
        <v>0</v>
      </c>
      <c r="BY153" s="2">
        <f t="shared" si="108"/>
        <v>0</v>
      </c>
      <c r="BZ153" s="2">
        <f t="shared" si="108"/>
        <v>0</v>
      </c>
      <c r="CA153" s="2">
        <f t="shared" ref="CA153:DF153" si="109">CA229</f>
        <v>0</v>
      </c>
      <c r="CB153" s="2">
        <f t="shared" si="109"/>
        <v>0</v>
      </c>
      <c r="CC153" s="2">
        <f t="shared" si="109"/>
        <v>0</v>
      </c>
      <c r="CD153" s="2">
        <f t="shared" si="109"/>
        <v>0</v>
      </c>
      <c r="CE153" s="2">
        <f t="shared" si="109"/>
        <v>0</v>
      </c>
      <c r="CF153" s="2">
        <f t="shared" si="109"/>
        <v>0</v>
      </c>
      <c r="CG153" s="2">
        <f t="shared" si="109"/>
        <v>0</v>
      </c>
      <c r="CH153" s="2">
        <f t="shared" si="109"/>
        <v>0</v>
      </c>
      <c r="CI153" s="2">
        <f t="shared" si="109"/>
        <v>0</v>
      </c>
      <c r="CJ153" s="2">
        <f t="shared" si="109"/>
        <v>0</v>
      </c>
      <c r="CK153" s="2">
        <f t="shared" si="109"/>
        <v>0</v>
      </c>
      <c r="CL153" s="2">
        <f t="shared" si="109"/>
        <v>0</v>
      </c>
      <c r="CM153" s="2">
        <f t="shared" si="109"/>
        <v>0</v>
      </c>
      <c r="CN153" s="2">
        <f t="shared" si="109"/>
        <v>0</v>
      </c>
      <c r="CO153" s="2">
        <f t="shared" si="109"/>
        <v>0</v>
      </c>
      <c r="CP153" s="2">
        <f t="shared" si="109"/>
        <v>0</v>
      </c>
      <c r="CQ153" s="2">
        <f t="shared" si="109"/>
        <v>0</v>
      </c>
      <c r="CR153" s="2">
        <f t="shared" si="109"/>
        <v>0</v>
      </c>
      <c r="CS153" s="2">
        <f t="shared" si="109"/>
        <v>0</v>
      </c>
      <c r="CT153" s="2">
        <f t="shared" si="109"/>
        <v>0</v>
      </c>
      <c r="CU153" s="2">
        <f t="shared" si="109"/>
        <v>0</v>
      </c>
      <c r="CV153" s="2">
        <f t="shared" si="109"/>
        <v>0</v>
      </c>
      <c r="CW153" s="2">
        <f t="shared" si="109"/>
        <v>0</v>
      </c>
      <c r="CX153" s="2">
        <f t="shared" si="109"/>
        <v>0</v>
      </c>
      <c r="CY153" s="2">
        <f t="shared" si="109"/>
        <v>0</v>
      </c>
      <c r="CZ153" s="2">
        <f t="shared" si="109"/>
        <v>0</v>
      </c>
      <c r="DA153" s="2">
        <f t="shared" si="109"/>
        <v>0</v>
      </c>
      <c r="DB153" s="2">
        <f t="shared" si="109"/>
        <v>0</v>
      </c>
      <c r="DC153" s="2">
        <f t="shared" si="109"/>
        <v>0</v>
      </c>
      <c r="DD153" s="2">
        <f t="shared" si="109"/>
        <v>0</v>
      </c>
      <c r="DE153" s="2">
        <f t="shared" si="109"/>
        <v>0</v>
      </c>
      <c r="DF153" s="2">
        <f t="shared" si="109"/>
        <v>0</v>
      </c>
      <c r="DG153" s="3">
        <f t="shared" ref="DG153:EL153" si="110">DG229</f>
        <v>0</v>
      </c>
      <c r="DH153" s="3">
        <f t="shared" si="110"/>
        <v>0</v>
      </c>
      <c r="DI153" s="3">
        <f t="shared" si="110"/>
        <v>0</v>
      </c>
      <c r="DJ153" s="3">
        <f t="shared" si="110"/>
        <v>0</v>
      </c>
      <c r="DK153" s="3">
        <f t="shared" si="110"/>
        <v>0</v>
      </c>
      <c r="DL153" s="3">
        <f t="shared" si="110"/>
        <v>0</v>
      </c>
      <c r="DM153" s="3">
        <f t="shared" si="110"/>
        <v>0</v>
      </c>
      <c r="DN153" s="3">
        <f t="shared" si="110"/>
        <v>0</v>
      </c>
      <c r="DO153" s="3">
        <f t="shared" si="110"/>
        <v>0</v>
      </c>
      <c r="DP153" s="3">
        <f t="shared" si="110"/>
        <v>0</v>
      </c>
      <c r="DQ153" s="3">
        <f t="shared" si="110"/>
        <v>0</v>
      </c>
      <c r="DR153" s="3">
        <f t="shared" si="110"/>
        <v>0</v>
      </c>
      <c r="DS153" s="3">
        <f t="shared" si="110"/>
        <v>0</v>
      </c>
      <c r="DT153" s="3">
        <f t="shared" si="110"/>
        <v>0</v>
      </c>
      <c r="DU153" s="3">
        <f t="shared" si="110"/>
        <v>0</v>
      </c>
      <c r="DV153" s="3">
        <f t="shared" si="110"/>
        <v>0</v>
      </c>
      <c r="DW153" s="3">
        <f t="shared" si="110"/>
        <v>0</v>
      </c>
      <c r="DX153" s="3">
        <f t="shared" si="110"/>
        <v>0</v>
      </c>
      <c r="DY153" s="3">
        <f t="shared" si="110"/>
        <v>0</v>
      </c>
      <c r="DZ153" s="3">
        <f t="shared" si="110"/>
        <v>0</v>
      </c>
      <c r="EA153" s="3">
        <f t="shared" si="110"/>
        <v>0</v>
      </c>
      <c r="EB153" s="3">
        <f t="shared" si="110"/>
        <v>0</v>
      </c>
      <c r="EC153" s="3">
        <f t="shared" si="110"/>
        <v>0</v>
      </c>
      <c r="ED153" s="3">
        <f t="shared" si="110"/>
        <v>0</v>
      </c>
      <c r="EE153" s="3">
        <f t="shared" si="110"/>
        <v>0</v>
      </c>
      <c r="EF153" s="3">
        <f t="shared" si="110"/>
        <v>0</v>
      </c>
      <c r="EG153" s="3">
        <f t="shared" si="110"/>
        <v>0</v>
      </c>
      <c r="EH153" s="3">
        <f t="shared" si="110"/>
        <v>0</v>
      </c>
      <c r="EI153" s="3">
        <f t="shared" si="110"/>
        <v>0</v>
      </c>
      <c r="EJ153" s="3">
        <f t="shared" si="110"/>
        <v>0</v>
      </c>
      <c r="EK153" s="3">
        <f t="shared" si="110"/>
        <v>0</v>
      </c>
      <c r="EL153" s="3">
        <f t="shared" si="110"/>
        <v>0</v>
      </c>
      <c r="EM153" s="3">
        <f t="shared" ref="EM153:FR153" si="111">EM229</f>
        <v>0</v>
      </c>
      <c r="EN153" s="3">
        <f t="shared" si="111"/>
        <v>0</v>
      </c>
      <c r="EO153" s="3">
        <f t="shared" si="111"/>
        <v>0</v>
      </c>
      <c r="EP153" s="3">
        <f t="shared" si="111"/>
        <v>0</v>
      </c>
      <c r="EQ153" s="3">
        <f t="shared" si="111"/>
        <v>0</v>
      </c>
      <c r="ER153" s="3">
        <f t="shared" si="111"/>
        <v>0</v>
      </c>
      <c r="ES153" s="3">
        <f t="shared" si="111"/>
        <v>0</v>
      </c>
      <c r="ET153" s="3">
        <f t="shared" si="111"/>
        <v>0</v>
      </c>
      <c r="EU153" s="3">
        <f t="shared" si="111"/>
        <v>0</v>
      </c>
      <c r="EV153" s="3">
        <f t="shared" si="111"/>
        <v>0</v>
      </c>
      <c r="EW153" s="3">
        <f t="shared" si="111"/>
        <v>0</v>
      </c>
      <c r="EX153" s="3">
        <f t="shared" si="111"/>
        <v>0</v>
      </c>
      <c r="EY153" s="3">
        <f t="shared" si="111"/>
        <v>0</v>
      </c>
      <c r="EZ153" s="3">
        <f t="shared" si="111"/>
        <v>0</v>
      </c>
      <c r="FA153" s="3">
        <f t="shared" si="111"/>
        <v>0</v>
      </c>
      <c r="FB153" s="3">
        <f t="shared" si="111"/>
        <v>0</v>
      </c>
      <c r="FC153" s="3">
        <f t="shared" si="111"/>
        <v>0</v>
      </c>
      <c r="FD153" s="3">
        <f t="shared" si="111"/>
        <v>0</v>
      </c>
      <c r="FE153" s="3">
        <f t="shared" si="111"/>
        <v>0</v>
      </c>
      <c r="FF153" s="3">
        <f t="shared" si="111"/>
        <v>0</v>
      </c>
      <c r="FG153" s="3">
        <f t="shared" si="111"/>
        <v>0</v>
      </c>
      <c r="FH153" s="3">
        <f t="shared" si="111"/>
        <v>0</v>
      </c>
      <c r="FI153" s="3">
        <f t="shared" si="111"/>
        <v>0</v>
      </c>
      <c r="FJ153" s="3">
        <f t="shared" si="111"/>
        <v>0</v>
      </c>
      <c r="FK153" s="3">
        <f t="shared" si="111"/>
        <v>0</v>
      </c>
      <c r="FL153" s="3">
        <f t="shared" si="111"/>
        <v>0</v>
      </c>
      <c r="FM153" s="3">
        <f t="shared" si="111"/>
        <v>0</v>
      </c>
      <c r="FN153" s="3">
        <f t="shared" si="111"/>
        <v>0</v>
      </c>
      <c r="FO153" s="3">
        <f t="shared" si="111"/>
        <v>0</v>
      </c>
      <c r="FP153" s="3">
        <f t="shared" si="111"/>
        <v>0</v>
      </c>
      <c r="FQ153" s="3">
        <f t="shared" si="111"/>
        <v>0</v>
      </c>
      <c r="FR153" s="3">
        <f t="shared" si="111"/>
        <v>0</v>
      </c>
      <c r="FS153" s="3">
        <f t="shared" ref="FS153:GX153" si="112">FS229</f>
        <v>0</v>
      </c>
      <c r="FT153" s="3">
        <f t="shared" si="112"/>
        <v>0</v>
      </c>
      <c r="FU153" s="3">
        <f t="shared" si="112"/>
        <v>0</v>
      </c>
      <c r="FV153" s="3">
        <f t="shared" si="112"/>
        <v>0</v>
      </c>
      <c r="FW153" s="3">
        <f t="shared" si="112"/>
        <v>0</v>
      </c>
      <c r="FX153" s="3">
        <f t="shared" si="112"/>
        <v>0</v>
      </c>
      <c r="FY153" s="3">
        <f t="shared" si="112"/>
        <v>0</v>
      </c>
      <c r="FZ153" s="3">
        <f t="shared" si="112"/>
        <v>0</v>
      </c>
      <c r="GA153" s="3">
        <f t="shared" si="112"/>
        <v>0</v>
      </c>
      <c r="GB153" s="3">
        <f t="shared" si="112"/>
        <v>0</v>
      </c>
      <c r="GC153" s="3">
        <f t="shared" si="112"/>
        <v>0</v>
      </c>
      <c r="GD153" s="3">
        <f t="shared" si="112"/>
        <v>0</v>
      </c>
      <c r="GE153" s="3">
        <f t="shared" si="112"/>
        <v>0</v>
      </c>
      <c r="GF153" s="3">
        <f t="shared" si="112"/>
        <v>0</v>
      </c>
      <c r="GG153" s="3">
        <f t="shared" si="112"/>
        <v>0</v>
      </c>
      <c r="GH153" s="3">
        <f t="shared" si="112"/>
        <v>0</v>
      </c>
      <c r="GI153" s="3">
        <f t="shared" si="112"/>
        <v>0</v>
      </c>
      <c r="GJ153" s="3">
        <f t="shared" si="112"/>
        <v>0</v>
      </c>
      <c r="GK153" s="3">
        <f t="shared" si="112"/>
        <v>0</v>
      </c>
      <c r="GL153" s="3">
        <f t="shared" si="112"/>
        <v>0</v>
      </c>
      <c r="GM153" s="3">
        <f t="shared" si="112"/>
        <v>0</v>
      </c>
      <c r="GN153" s="3">
        <f t="shared" si="112"/>
        <v>0</v>
      </c>
      <c r="GO153" s="3">
        <f t="shared" si="112"/>
        <v>0</v>
      </c>
      <c r="GP153" s="3">
        <f t="shared" si="112"/>
        <v>0</v>
      </c>
      <c r="GQ153" s="3">
        <f t="shared" si="112"/>
        <v>0</v>
      </c>
      <c r="GR153" s="3">
        <f t="shared" si="112"/>
        <v>0</v>
      </c>
      <c r="GS153" s="3">
        <f t="shared" si="112"/>
        <v>0</v>
      </c>
      <c r="GT153" s="3">
        <f t="shared" si="112"/>
        <v>0</v>
      </c>
      <c r="GU153" s="3">
        <f t="shared" si="112"/>
        <v>0</v>
      </c>
      <c r="GV153" s="3">
        <f t="shared" si="112"/>
        <v>0</v>
      </c>
      <c r="GW153" s="3">
        <f t="shared" si="112"/>
        <v>0</v>
      </c>
      <c r="GX153" s="3">
        <f t="shared" si="112"/>
        <v>0</v>
      </c>
    </row>
    <row r="155" spans="1:245" x14ac:dyDescent="0.2">
      <c r="A155" s="1">
        <v>4</v>
      </c>
      <c r="B155" s="1">
        <v>1</v>
      </c>
      <c r="C155" s="1"/>
      <c r="D155" s="1">
        <f>ROW(A164)</f>
        <v>164</v>
      </c>
      <c r="E155" s="1"/>
      <c r="F155" s="1" t="s">
        <v>16</v>
      </c>
      <c r="G155" s="1" t="s">
        <v>17</v>
      </c>
      <c r="H155" s="1" t="s">
        <v>3</v>
      </c>
      <c r="I155" s="1">
        <v>0</v>
      </c>
      <c r="J155" s="1"/>
      <c r="K155" s="1">
        <v>0</v>
      </c>
      <c r="L155" s="1"/>
      <c r="M155" s="1"/>
      <c r="N155" s="1"/>
      <c r="O155" s="1"/>
      <c r="P155" s="1"/>
      <c r="Q155" s="1"/>
      <c r="R155" s="1"/>
      <c r="S155" s="1"/>
      <c r="T155" s="1"/>
      <c r="U155" s="1" t="s">
        <v>3</v>
      </c>
      <c r="V155" s="1">
        <v>0</v>
      </c>
      <c r="W155" s="1"/>
      <c r="X155" s="1"/>
      <c r="Y155" s="1"/>
      <c r="Z155" s="1"/>
      <c r="AA155" s="1"/>
      <c r="AB155" s="1" t="s">
        <v>3</v>
      </c>
      <c r="AC155" s="1" t="s">
        <v>3</v>
      </c>
      <c r="AD155" s="1" t="s">
        <v>3</v>
      </c>
      <c r="AE155" s="1" t="s">
        <v>3</v>
      </c>
      <c r="AF155" s="1" t="s">
        <v>3</v>
      </c>
      <c r="AG155" s="1" t="s">
        <v>3</v>
      </c>
      <c r="AH155" s="1"/>
      <c r="AI155" s="1"/>
      <c r="AJ155" s="1"/>
      <c r="AK155" s="1"/>
      <c r="AL155" s="1"/>
      <c r="AM155" s="1"/>
      <c r="AN155" s="1"/>
      <c r="AO155" s="1"/>
      <c r="AP155" s="1" t="s">
        <v>3</v>
      </c>
      <c r="AQ155" s="1" t="s">
        <v>3</v>
      </c>
      <c r="AR155" s="1" t="s">
        <v>3</v>
      </c>
      <c r="AS155" s="1"/>
      <c r="AT155" s="1"/>
      <c r="AU155" s="1"/>
      <c r="AV155" s="1"/>
      <c r="AW155" s="1"/>
      <c r="AX155" s="1"/>
      <c r="AY155" s="1"/>
      <c r="AZ155" s="1" t="s">
        <v>3</v>
      </c>
      <c r="BA155" s="1"/>
      <c r="BB155" s="1" t="s">
        <v>3</v>
      </c>
      <c r="BC155" s="1" t="s">
        <v>3</v>
      </c>
      <c r="BD155" s="1" t="s">
        <v>3</v>
      </c>
      <c r="BE155" s="1" t="s">
        <v>3</v>
      </c>
      <c r="BF155" s="1" t="s">
        <v>3</v>
      </c>
      <c r="BG155" s="1" t="s">
        <v>3</v>
      </c>
      <c r="BH155" s="1" t="s">
        <v>3</v>
      </c>
      <c r="BI155" s="1" t="s">
        <v>3</v>
      </c>
      <c r="BJ155" s="1" t="s">
        <v>3</v>
      </c>
      <c r="BK155" s="1" t="s">
        <v>3</v>
      </c>
      <c r="BL155" s="1" t="s">
        <v>3</v>
      </c>
      <c r="BM155" s="1" t="s">
        <v>3</v>
      </c>
      <c r="BN155" s="1" t="s">
        <v>3</v>
      </c>
      <c r="BO155" s="1" t="s">
        <v>3</v>
      </c>
      <c r="BP155" s="1" t="s">
        <v>3</v>
      </c>
      <c r="BQ155" s="1"/>
      <c r="BR155" s="1"/>
      <c r="BS155" s="1"/>
      <c r="BT155" s="1"/>
      <c r="BU155" s="1"/>
      <c r="BV155" s="1"/>
      <c r="BW155" s="1"/>
      <c r="BX155" s="1">
        <v>0</v>
      </c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>
        <v>0</v>
      </c>
    </row>
    <row r="157" spans="1:245" x14ac:dyDescent="0.2">
      <c r="A157" s="2">
        <v>52</v>
      </c>
      <c r="B157" s="2">
        <f t="shared" ref="B157:G157" si="113">B164</f>
        <v>1</v>
      </c>
      <c r="C157" s="2">
        <f t="shared" si="113"/>
        <v>4</v>
      </c>
      <c r="D157" s="2">
        <f t="shared" si="113"/>
        <v>155</v>
      </c>
      <c r="E157" s="2">
        <f t="shared" si="113"/>
        <v>0</v>
      </c>
      <c r="F157" s="2" t="str">
        <f t="shared" si="113"/>
        <v>Новый раздел</v>
      </c>
      <c r="G157" s="2" t="str">
        <f t="shared" si="113"/>
        <v>РУ 0,4 кВ №1</v>
      </c>
      <c r="H157" s="2"/>
      <c r="I157" s="2"/>
      <c r="J157" s="2"/>
      <c r="K157" s="2"/>
      <c r="L157" s="2"/>
      <c r="M157" s="2"/>
      <c r="N157" s="2"/>
      <c r="O157" s="2">
        <f t="shared" ref="O157:AT157" si="114">O164</f>
        <v>9769.6</v>
      </c>
      <c r="P157" s="2">
        <f t="shared" si="114"/>
        <v>0</v>
      </c>
      <c r="Q157" s="2">
        <f t="shared" si="114"/>
        <v>0</v>
      </c>
      <c r="R157" s="2">
        <f t="shared" si="114"/>
        <v>0</v>
      </c>
      <c r="S157" s="2">
        <f t="shared" si="114"/>
        <v>9769.6</v>
      </c>
      <c r="T157" s="2">
        <f t="shared" si="114"/>
        <v>0</v>
      </c>
      <c r="U157" s="2">
        <f t="shared" si="114"/>
        <v>33.158000000000001</v>
      </c>
      <c r="V157" s="2">
        <f t="shared" si="114"/>
        <v>0</v>
      </c>
      <c r="W157" s="2">
        <f t="shared" si="114"/>
        <v>0</v>
      </c>
      <c r="X157" s="2">
        <f t="shared" si="114"/>
        <v>5373.28</v>
      </c>
      <c r="Y157" s="2">
        <f t="shared" si="114"/>
        <v>3126.27</v>
      </c>
      <c r="Z157" s="2">
        <f t="shared" si="114"/>
        <v>0</v>
      </c>
      <c r="AA157" s="2">
        <f t="shared" si="114"/>
        <v>0</v>
      </c>
      <c r="AB157" s="2">
        <f t="shared" si="114"/>
        <v>9769.6</v>
      </c>
      <c r="AC157" s="2">
        <f t="shared" si="114"/>
        <v>0</v>
      </c>
      <c r="AD157" s="2">
        <f t="shared" si="114"/>
        <v>0</v>
      </c>
      <c r="AE157" s="2">
        <f t="shared" si="114"/>
        <v>0</v>
      </c>
      <c r="AF157" s="2">
        <f t="shared" si="114"/>
        <v>9769.6</v>
      </c>
      <c r="AG157" s="2">
        <f t="shared" si="114"/>
        <v>0</v>
      </c>
      <c r="AH157" s="2">
        <f t="shared" si="114"/>
        <v>33.158000000000001</v>
      </c>
      <c r="AI157" s="2">
        <f t="shared" si="114"/>
        <v>0</v>
      </c>
      <c r="AJ157" s="2">
        <f t="shared" si="114"/>
        <v>0</v>
      </c>
      <c r="AK157" s="2">
        <f t="shared" si="114"/>
        <v>5373.28</v>
      </c>
      <c r="AL157" s="2">
        <f t="shared" si="114"/>
        <v>3126.27</v>
      </c>
      <c r="AM157" s="2">
        <f t="shared" si="114"/>
        <v>0</v>
      </c>
      <c r="AN157" s="2">
        <f t="shared" si="114"/>
        <v>0</v>
      </c>
      <c r="AO157" s="2">
        <f t="shared" si="114"/>
        <v>0</v>
      </c>
      <c r="AP157" s="2">
        <f t="shared" si="114"/>
        <v>0</v>
      </c>
      <c r="AQ157" s="2">
        <f t="shared" si="114"/>
        <v>0</v>
      </c>
      <c r="AR157" s="2">
        <f t="shared" si="114"/>
        <v>18269.150000000001</v>
      </c>
      <c r="AS157" s="2">
        <f t="shared" si="114"/>
        <v>0</v>
      </c>
      <c r="AT157" s="2">
        <f t="shared" si="114"/>
        <v>0</v>
      </c>
      <c r="AU157" s="2">
        <f t="shared" ref="AU157:BZ157" si="115">AU164</f>
        <v>18269.150000000001</v>
      </c>
      <c r="AV157" s="2">
        <f t="shared" si="115"/>
        <v>0</v>
      </c>
      <c r="AW157" s="2">
        <f t="shared" si="115"/>
        <v>0</v>
      </c>
      <c r="AX157" s="2">
        <f t="shared" si="115"/>
        <v>0</v>
      </c>
      <c r="AY157" s="2">
        <f t="shared" si="115"/>
        <v>0</v>
      </c>
      <c r="AZ157" s="2">
        <f t="shared" si="115"/>
        <v>0</v>
      </c>
      <c r="BA157" s="2">
        <f t="shared" si="115"/>
        <v>0</v>
      </c>
      <c r="BB157" s="2">
        <f t="shared" si="115"/>
        <v>0</v>
      </c>
      <c r="BC157" s="2">
        <f t="shared" si="115"/>
        <v>0</v>
      </c>
      <c r="BD157" s="2">
        <f t="shared" si="115"/>
        <v>0</v>
      </c>
      <c r="BE157" s="2">
        <f t="shared" si="115"/>
        <v>0</v>
      </c>
      <c r="BF157" s="2">
        <f t="shared" si="115"/>
        <v>0</v>
      </c>
      <c r="BG157" s="2">
        <f t="shared" si="115"/>
        <v>0</v>
      </c>
      <c r="BH157" s="2">
        <f t="shared" si="115"/>
        <v>0</v>
      </c>
      <c r="BI157" s="2">
        <f t="shared" si="115"/>
        <v>0</v>
      </c>
      <c r="BJ157" s="2">
        <f t="shared" si="115"/>
        <v>0</v>
      </c>
      <c r="BK157" s="2">
        <f t="shared" si="115"/>
        <v>0</v>
      </c>
      <c r="BL157" s="2">
        <f t="shared" si="115"/>
        <v>0</v>
      </c>
      <c r="BM157" s="2">
        <f t="shared" si="115"/>
        <v>0</v>
      </c>
      <c r="BN157" s="2">
        <f t="shared" si="115"/>
        <v>0</v>
      </c>
      <c r="BO157" s="2">
        <f t="shared" si="115"/>
        <v>0</v>
      </c>
      <c r="BP157" s="2">
        <f t="shared" si="115"/>
        <v>0</v>
      </c>
      <c r="BQ157" s="2">
        <f t="shared" si="115"/>
        <v>0</v>
      </c>
      <c r="BR157" s="2">
        <f t="shared" si="115"/>
        <v>0</v>
      </c>
      <c r="BS157" s="2">
        <f t="shared" si="115"/>
        <v>0</v>
      </c>
      <c r="BT157" s="2">
        <f t="shared" si="115"/>
        <v>0</v>
      </c>
      <c r="BU157" s="2">
        <f t="shared" si="115"/>
        <v>0</v>
      </c>
      <c r="BV157" s="2">
        <f t="shared" si="115"/>
        <v>0</v>
      </c>
      <c r="BW157" s="2">
        <f t="shared" si="115"/>
        <v>0</v>
      </c>
      <c r="BX157" s="2">
        <f t="shared" si="115"/>
        <v>0</v>
      </c>
      <c r="BY157" s="2">
        <f t="shared" si="115"/>
        <v>0</v>
      </c>
      <c r="BZ157" s="2">
        <f t="shared" si="115"/>
        <v>0</v>
      </c>
      <c r="CA157" s="2">
        <f t="shared" ref="CA157:DF157" si="116">CA164</f>
        <v>18269.150000000001</v>
      </c>
      <c r="CB157" s="2">
        <f t="shared" si="116"/>
        <v>0</v>
      </c>
      <c r="CC157" s="2">
        <f t="shared" si="116"/>
        <v>0</v>
      </c>
      <c r="CD157" s="2">
        <f t="shared" si="116"/>
        <v>18269.150000000001</v>
      </c>
      <c r="CE157" s="2">
        <f t="shared" si="116"/>
        <v>0</v>
      </c>
      <c r="CF157" s="2">
        <f t="shared" si="116"/>
        <v>0</v>
      </c>
      <c r="CG157" s="2">
        <f t="shared" si="116"/>
        <v>0</v>
      </c>
      <c r="CH157" s="2">
        <f t="shared" si="116"/>
        <v>0</v>
      </c>
      <c r="CI157" s="2">
        <f t="shared" si="116"/>
        <v>0</v>
      </c>
      <c r="CJ157" s="2">
        <f t="shared" si="116"/>
        <v>0</v>
      </c>
      <c r="CK157" s="2">
        <f t="shared" si="116"/>
        <v>0</v>
      </c>
      <c r="CL157" s="2">
        <f t="shared" si="116"/>
        <v>0</v>
      </c>
      <c r="CM157" s="2">
        <f t="shared" si="116"/>
        <v>0</v>
      </c>
      <c r="CN157" s="2">
        <f t="shared" si="116"/>
        <v>0</v>
      </c>
      <c r="CO157" s="2">
        <f t="shared" si="116"/>
        <v>0</v>
      </c>
      <c r="CP157" s="2">
        <f t="shared" si="116"/>
        <v>0</v>
      </c>
      <c r="CQ157" s="2">
        <f t="shared" si="116"/>
        <v>0</v>
      </c>
      <c r="CR157" s="2">
        <f t="shared" si="116"/>
        <v>0</v>
      </c>
      <c r="CS157" s="2">
        <f t="shared" si="116"/>
        <v>0</v>
      </c>
      <c r="CT157" s="2">
        <f t="shared" si="116"/>
        <v>0</v>
      </c>
      <c r="CU157" s="2">
        <f t="shared" si="116"/>
        <v>0</v>
      </c>
      <c r="CV157" s="2">
        <f t="shared" si="116"/>
        <v>0</v>
      </c>
      <c r="CW157" s="2">
        <f t="shared" si="116"/>
        <v>0</v>
      </c>
      <c r="CX157" s="2">
        <f t="shared" si="116"/>
        <v>0</v>
      </c>
      <c r="CY157" s="2">
        <f t="shared" si="116"/>
        <v>0</v>
      </c>
      <c r="CZ157" s="2">
        <f t="shared" si="116"/>
        <v>0</v>
      </c>
      <c r="DA157" s="2">
        <f t="shared" si="116"/>
        <v>0</v>
      </c>
      <c r="DB157" s="2">
        <f t="shared" si="116"/>
        <v>0</v>
      </c>
      <c r="DC157" s="2">
        <f t="shared" si="116"/>
        <v>0</v>
      </c>
      <c r="DD157" s="2">
        <f t="shared" si="116"/>
        <v>0</v>
      </c>
      <c r="DE157" s="2">
        <f t="shared" si="116"/>
        <v>0</v>
      </c>
      <c r="DF157" s="2">
        <f t="shared" si="116"/>
        <v>0</v>
      </c>
      <c r="DG157" s="3">
        <f t="shared" ref="DG157:EL157" si="117">DG164</f>
        <v>0</v>
      </c>
      <c r="DH157" s="3">
        <f t="shared" si="117"/>
        <v>0</v>
      </c>
      <c r="DI157" s="3">
        <f t="shared" si="117"/>
        <v>0</v>
      </c>
      <c r="DJ157" s="3">
        <f t="shared" si="117"/>
        <v>0</v>
      </c>
      <c r="DK157" s="3">
        <f t="shared" si="117"/>
        <v>0</v>
      </c>
      <c r="DL157" s="3">
        <f t="shared" si="117"/>
        <v>0</v>
      </c>
      <c r="DM157" s="3">
        <f t="shared" si="117"/>
        <v>0</v>
      </c>
      <c r="DN157" s="3">
        <f t="shared" si="117"/>
        <v>0</v>
      </c>
      <c r="DO157" s="3">
        <f t="shared" si="117"/>
        <v>0</v>
      </c>
      <c r="DP157" s="3">
        <f t="shared" si="117"/>
        <v>0</v>
      </c>
      <c r="DQ157" s="3">
        <f t="shared" si="117"/>
        <v>0</v>
      </c>
      <c r="DR157" s="3">
        <f t="shared" si="117"/>
        <v>0</v>
      </c>
      <c r="DS157" s="3">
        <f t="shared" si="117"/>
        <v>0</v>
      </c>
      <c r="DT157" s="3">
        <f t="shared" si="117"/>
        <v>0</v>
      </c>
      <c r="DU157" s="3">
        <f t="shared" si="117"/>
        <v>0</v>
      </c>
      <c r="DV157" s="3">
        <f t="shared" si="117"/>
        <v>0</v>
      </c>
      <c r="DW157" s="3">
        <f t="shared" si="117"/>
        <v>0</v>
      </c>
      <c r="DX157" s="3">
        <f t="shared" si="117"/>
        <v>0</v>
      </c>
      <c r="DY157" s="3">
        <f t="shared" si="117"/>
        <v>0</v>
      </c>
      <c r="DZ157" s="3">
        <f t="shared" si="117"/>
        <v>0</v>
      </c>
      <c r="EA157" s="3">
        <f t="shared" si="117"/>
        <v>0</v>
      </c>
      <c r="EB157" s="3">
        <f t="shared" si="117"/>
        <v>0</v>
      </c>
      <c r="EC157" s="3">
        <f t="shared" si="117"/>
        <v>0</v>
      </c>
      <c r="ED157" s="3">
        <f t="shared" si="117"/>
        <v>0</v>
      </c>
      <c r="EE157" s="3">
        <f t="shared" si="117"/>
        <v>0</v>
      </c>
      <c r="EF157" s="3">
        <f t="shared" si="117"/>
        <v>0</v>
      </c>
      <c r="EG157" s="3">
        <f t="shared" si="117"/>
        <v>0</v>
      </c>
      <c r="EH157" s="3">
        <f t="shared" si="117"/>
        <v>0</v>
      </c>
      <c r="EI157" s="3">
        <f t="shared" si="117"/>
        <v>0</v>
      </c>
      <c r="EJ157" s="3">
        <f t="shared" si="117"/>
        <v>0</v>
      </c>
      <c r="EK157" s="3">
        <f t="shared" si="117"/>
        <v>0</v>
      </c>
      <c r="EL157" s="3">
        <f t="shared" si="117"/>
        <v>0</v>
      </c>
      <c r="EM157" s="3">
        <f t="shared" ref="EM157:FR157" si="118">EM164</f>
        <v>0</v>
      </c>
      <c r="EN157" s="3">
        <f t="shared" si="118"/>
        <v>0</v>
      </c>
      <c r="EO157" s="3">
        <f t="shared" si="118"/>
        <v>0</v>
      </c>
      <c r="EP157" s="3">
        <f t="shared" si="118"/>
        <v>0</v>
      </c>
      <c r="EQ157" s="3">
        <f t="shared" si="118"/>
        <v>0</v>
      </c>
      <c r="ER157" s="3">
        <f t="shared" si="118"/>
        <v>0</v>
      </c>
      <c r="ES157" s="3">
        <f t="shared" si="118"/>
        <v>0</v>
      </c>
      <c r="ET157" s="3">
        <f t="shared" si="118"/>
        <v>0</v>
      </c>
      <c r="EU157" s="3">
        <f t="shared" si="118"/>
        <v>0</v>
      </c>
      <c r="EV157" s="3">
        <f t="shared" si="118"/>
        <v>0</v>
      </c>
      <c r="EW157" s="3">
        <f t="shared" si="118"/>
        <v>0</v>
      </c>
      <c r="EX157" s="3">
        <f t="shared" si="118"/>
        <v>0</v>
      </c>
      <c r="EY157" s="3">
        <f t="shared" si="118"/>
        <v>0</v>
      </c>
      <c r="EZ157" s="3">
        <f t="shared" si="118"/>
        <v>0</v>
      </c>
      <c r="FA157" s="3">
        <f t="shared" si="118"/>
        <v>0</v>
      </c>
      <c r="FB157" s="3">
        <f t="shared" si="118"/>
        <v>0</v>
      </c>
      <c r="FC157" s="3">
        <f t="shared" si="118"/>
        <v>0</v>
      </c>
      <c r="FD157" s="3">
        <f t="shared" si="118"/>
        <v>0</v>
      </c>
      <c r="FE157" s="3">
        <f t="shared" si="118"/>
        <v>0</v>
      </c>
      <c r="FF157" s="3">
        <f t="shared" si="118"/>
        <v>0</v>
      </c>
      <c r="FG157" s="3">
        <f t="shared" si="118"/>
        <v>0</v>
      </c>
      <c r="FH157" s="3">
        <f t="shared" si="118"/>
        <v>0</v>
      </c>
      <c r="FI157" s="3">
        <f t="shared" si="118"/>
        <v>0</v>
      </c>
      <c r="FJ157" s="3">
        <f t="shared" si="118"/>
        <v>0</v>
      </c>
      <c r="FK157" s="3">
        <f t="shared" si="118"/>
        <v>0</v>
      </c>
      <c r="FL157" s="3">
        <f t="shared" si="118"/>
        <v>0</v>
      </c>
      <c r="FM157" s="3">
        <f t="shared" si="118"/>
        <v>0</v>
      </c>
      <c r="FN157" s="3">
        <f t="shared" si="118"/>
        <v>0</v>
      </c>
      <c r="FO157" s="3">
        <f t="shared" si="118"/>
        <v>0</v>
      </c>
      <c r="FP157" s="3">
        <f t="shared" si="118"/>
        <v>0</v>
      </c>
      <c r="FQ157" s="3">
        <f t="shared" si="118"/>
        <v>0</v>
      </c>
      <c r="FR157" s="3">
        <f t="shared" si="118"/>
        <v>0</v>
      </c>
      <c r="FS157" s="3">
        <f t="shared" ref="FS157:GX157" si="119">FS164</f>
        <v>0</v>
      </c>
      <c r="FT157" s="3">
        <f t="shared" si="119"/>
        <v>0</v>
      </c>
      <c r="FU157" s="3">
        <f t="shared" si="119"/>
        <v>0</v>
      </c>
      <c r="FV157" s="3">
        <f t="shared" si="119"/>
        <v>0</v>
      </c>
      <c r="FW157" s="3">
        <f t="shared" si="119"/>
        <v>0</v>
      </c>
      <c r="FX157" s="3">
        <f t="shared" si="119"/>
        <v>0</v>
      </c>
      <c r="FY157" s="3">
        <f t="shared" si="119"/>
        <v>0</v>
      </c>
      <c r="FZ157" s="3">
        <f t="shared" si="119"/>
        <v>0</v>
      </c>
      <c r="GA157" s="3">
        <f t="shared" si="119"/>
        <v>0</v>
      </c>
      <c r="GB157" s="3">
        <f t="shared" si="119"/>
        <v>0</v>
      </c>
      <c r="GC157" s="3">
        <f t="shared" si="119"/>
        <v>0</v>
      </c>
      <c r="GD157" s="3">
        <f t="shared" si="119"/>
        <v>0</v>
      </c>
      <c r="GE157" s="3">
        <f t="shared" si="119"/>
        <v>0</v>
      </c>
      <c r="GF157" s="3">
        <f t="shared" si="119"/>
        <v>0</v>
      </c>
      <c r="GG157" s="3">
        <f t="shared" si="119"/>
        <v>0</v>
      </c>
      <c r="GH157" s="3">
        <f t="shared" si="119"/>
        <v>0</v>
      </c>
      <c r="GI157" s="3">
        <f t="shared" si="119"/>
        <v>0</v>
      </c>
      <c r="GJ157" s="3">
        <f t="shared" si="119"/>
        <v>0</v>
      </c>
      <c r="GK157" s="3">
        <f t="shared" si="119"/>
        <v>0</v>
      </c>
      <c r="GL157" s="3">
        <f t="shared" si="119"/>
        <v>0</v>
      </c>
      <c r="GM157" s="3">
        <f t="shared" si="119"/>
        <v>0</v>
      </c>
      <c r="GN157" s="3">
        <f t="shared" si="119"/>
        <v>0</v>
      </c>
      <c r="GO157" s="3">
        <f t="shared" si="119"/>
        <v>0</v>
      </c>
      <c r="GP157" s="3">
        <f t="shared" si="119"/>
        <v>0</v>
      </c>
      <c r="GQ157" s="3">
        <f t="shared" si="119"/>
        <v>0</v>
      </c>
      <c r="GR157" s="3">
        <f t="shared" si="119"/>
        <v>0</v>
      </c>
      <c r="GS157" s="3">
        <f t="shared" si="119"/>
        <v>0</v>
      </c>
      <c r="GT157" s="3">
        <f t="shared" si="119"/>
        <v>0</v>
      </c>
      <c r="GU157" s="3">
        <f t="shared" si="119"/>
        <v>0</v>
      </c>
      <c r="GV157" s="3">
        <f t="shared" si="119"/>
        <v>0</v>
      </c>
      <c r="GW157" s="3">
        <f t="shared" si="119"/>
        <v>0</v>
      </c>
      <c r="GX157" s="3">
        <f t="shared" si="119"/>
        <v>0</v>
      </c>
    </row>
    <row r="159" spans="1:245" x14ac:dyDescent="0.2">
      <c r="A159">
        <v>17</v>
      </c>
      <c r="B159">
        <v>1</v>
      </c>
      <c r="C159">
        <f>ROW(SmtRes!A95)</f>
        <v>95</v>
      </c>
      <c r="D159">
        <f>ROW(EtalonRes!A82)</f>
        <v>82</v>
      </c>
      <c r="E159" t="s">
        <v>18</v>
      </c>
      <c r="F159" t="s">
        <v>202</v>
      </c>
      <c r="G159" t="s">
        <v>203</v>
      </c>
      <c r="H159" t="s">
        <v>83</v>
      </c>
      <c r="I159">
        <v>12</v>
      </c>
      <c r="J159">
        <v>0</v>
      </c>
      <c r="O159">
        <f>ROUND(CP159,2)</f>
        <v>851.36</v>
      </c>
      <c r="P159">
        <f>ROUND(CQ159*I159,2)</f>
        <v>0</v>
      </c>
      <c r="Q159">
        <f>ROUND(CR159*I159,2)</f>
        <v>0</v>
      </c>
      <c r="R159">
        <f>ROUND(CS159*I159,2)</f>
        <v>0</v>
      </c>
      <c r="S159">
        <f>ROUND(CT159*I159,2)</f>
        <v>851.36</v>
      </c>
      <c r="T159">
        <f>ROUND(CU159*I159,2)</f>
        <v>0</v>
      </c>
      <c r="U159">
        <f>CV159*I159</f>
        <v>2.6879999999999997</v>
      </c>
      <c r="V159">
        <f>CW159*I159</f>
        <v>0</v>
      </c>
      <c r="W159">
        <f>ROUND(CX159*I159,2)</f>
        <v>0</v>
      </c>
      <c r="X159">
        <f t="shared" ref="X159:Y162" si="120">ROUND(CY159,2)</f>
        <v>468.25</v>
      </c>
      <c r="Y159">
        <f t="shared" si="120"/>
        <v>272.44</v>
      </c>
      <c r="AA159">
        <v>35007309</v>
      </c>
      <c r="AB159">
        <f>ROUND((AC159+AD159+AF159),2)</f>
        <v>2.87</v>
      </c>
      <c r="AC159">
        <f>ROUND((ES159),2)</f>
        <v>0</v>
      </c>
      <c r="AD159">
        <f>ROUND((((ET159)-(EU159))+AE159),2)</f>
        <v>0</v>
      </c>
      <c r="AE159">
        <f>ROUND((EU159),2)</f>
        <v>0</v>
      </c>
      <c r="AF159">
        <f>ROUND(((EV159*0.7)),2)</f>
        <v>2.87</v>
      </c>
      <c r="AG159">
        <f>ROUND((AP159),2)</f>
        <v>0</v>
      </c>
      <c r="AH159">
        <f>((EW159*0.7))</f>
        <v>0.22399999999999998</v>
      </c>
      <c r="AI159">
        <f>(EX159)</f>
        <v>0</v>
      </c>
      <c r="AJ159">
        <f>ROUND((AS159),2)</f>
        <v>0</v>
      </c>
      <c r="AK159">
        <v>4.0999999999999996</v>
      </c>
      <c r="AL159">
        <v>0</v>
      </c>
      <c r="AM159">
        <v>0</v>
      </c>
      <c r="AN159">
        <v>0</v>
      </c>
      <c r="AO159">
        <v>4.0999999999999996</v>
      </c>
      <c r="AP159">
        <v>0</v>
      </c>
      <c r="AQ159">
        <v>0.32</v>
      </c>
      <c r="AR159">
        <v>0</v>
      </c>
      <c r="AS159">
        <v>0</v>
      </c>
      <c r="AT159">
        <v>55</v>
      </c>
      <c r="AU159">
        <v>32</v>
      </c>
      <c r="AV159">
        <v>1</v>
      </c>
      <c r="AW159">
        <v>1</v>
      </c>
      <c r="AZ159">
        <v>1</v>
      </c>
      <c r="BA159">
        <v>24.72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204</v>
      </c>
      <c r="BM159">
        <v>200001</v>
      </c>
      <c r="BN159">
        <v>31265683</v>
      </c>
      <c r="BO159" t="s">
        <v>3</v>
      </c>
      <c r="BP159">
        <v>0</v>
      </c>
      <c r="BQ159">
        <v>4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65</v>
      </c>
      <c r="CA159">
        <v>40</v>
      </c>
      <c r="CF159">
        <v>0</v>
      </c>
      <c r="CG159">
        <v>0</v>
      </c>
      <c r="CM159">
        <v>0</v>
      </c>
      <c r="CN159" t="s">
        <v>205</v>
      </c>
      <c r="CO159">
        <v>0</v>
      </c>
      <c r="CP159">
        <f>(P159+Q159+S159)</f>
        <v>851.36</v>
      </c>
      <c r="CQ159">
        <f>AC159*BC159</f>
        <v>0</v>
      </c>
      <c r="CR159">
        <f>AD159*BB159</f>
        <v>0</v>
      </c>
      <c r="CS159">
        <f>AE159*BS159</f>
        <v>0</v>
      </c>
      <c r="CT159">
        <f>AF159*BA159</f>
        <v>70.946399999999997</v>
      </c>
      <c r="CU159">
        <f t="shared" ref="CU159:CX162" si="121">AG159</f>
        <v>0</v>
      </c>
      <c r="CV159">
        <f t="shared" si="121"/>
        <v>0.22399999999999998</v>
      </c>
      <c r="CW159">
        <f t="shared" si="121"/>
        <v>0</v>
      </c>
      <c r="CX159">
        <f t="shared" si="121"/>
        <v>0</v>
      </c>
      <c r="CY159">
        <f>(((S159+R159)*AT159)/100)</f>
        <v>468.24800000000005</v>
      </c>
      <c r="CZ159">
        <f>(((S159+R159)*AU159)/100)</f>
        <v>272.43520000000001</v>
      </c>
      <c r="DC159" t="s">
        <v>3</v>
      </c>
      <c r="DD159" t="s">
        <v>3</v>
      </c>
      <c r="DE159" t="s">
        <v>3</v>
      </c>
      <c r="DF159" t="s">
        <v>3</v>
      </c>
      <c r="DG159" t="s">
        <v>126</v>
      </c>
      <c r="DH159" t="s">
        <v>3</v>
      </c>
      <c r="DI159" t="s">
        <v>126</v>
      </c>
      <c r="DJ159" t="s">
        <v>3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1013</v>
      </c>
      <c r="DV159" t="s">
        <v>83</v>
      </c>
      <c r="DW159" t="s">
        <v>83</v>
      </c>
      <c r="DX159">
        <v>1</v>
      </c>
      <c r="EE159">
        <v>31266019</v>
      </c>
      <c r="EF159">
        <v>4</v>
      </c>
      <c r="EG159" t="s">
        <v>201</v>
      </c>
      <c r="EH159">
        <v>0</v>
      </c>
      <c r="EI159" t="s">
        <v>3</v>
      </c>
      <c r="EJ159">
        <v>4</v>
      </c>
      <c r="EK159">
        <v>200001</v>
      </c>
      <c r="EL159" t="s">
        <v>206</v>
      </c>
      <c r="EM159" t="s">
        <v>207</v>
      </c>
      <c r="EO159" t="s">
        <v>208</v>
      </c>
      <c r="EQ159">
        <v>512</v>
      </c>
      <c r="ER159">
        <v>4.0999999999999996</v>
      </c>
      <c r="ES159">
        <v>0</v>
      </c>
      <c r="ET159">
        <v>0</v>
      </c>
      <c r="EU159">
        <v>0</v>
      </c>
      <c r="EV159">
        <v>4.0999999999999996</v>
      </c>
      <c r="EW159">
        <v>0.32</v>
      </c>
      <c r="EX159">
        <v>0</v>
      </c>
      <c r="EY159">
        <v>0</v>
      </c>
      <c r="FQ159">
        <v>0</v>
      </c>
      <c r="FR159">
        <f>ROUND(IF(AND(BH159=3,BI159=3),P159,0),2)</f>
        <v>0</v>
      </c>
      <c r="FS159">
        <v>0</v>
      </c>
      <c r="FV159" t="s">
        <v>26</v>
      </c>
      <c r="FW159" t="s">
        <v>27</v>
      </c>
      <c r="FX159">
        <v>65</v>
      </c>
      <c r="FY159">
        <v>40</v>
      </c>
      <c r="GA159" t="s">
        <v>3</v>
      </c>
      <c r="GD159">
        <v>0</v>
      </c>
      <c r="GF159">
        <v>-1617765494</v>
      </c>
      <c r="GG159">
        <v>2</v>
      </c>
      <c r="GH159">
        <v>1</v>
      </c>
      <c r="GI159">
        <v>2</v>
      </c>
      <c r="GJ159">
        <v>0</v>
      </c>
      <c r="GK159">
        <f>ROUND(R159*(R12)/100,2)</f>
        <v>0</v>
      </c>
      <c r="GL159">
        <f>ROUND(IF(AND(BH159=3,BI159=3,FS159&lt;&gt;0),P159,0),2)</f>
        <v>0</v>
      </c>
      <c r="GM159">
        <f>ROUND(O159+X159+Y159+GK159,2)+GX159</f>
        <v>1592.05</v>
      </c>
      <c r="GN159">
        <f>IF(OR(BI159=0,BI159=1),ROUND(O159+X159+Y159+GK159,2),0)</f>
        <v>0</v>
      </c>
      <c r="GO159">
        <f>IF(BI159=2,ROUND(O159+X159+Y159+GK159,2),0)</f>
        <v>0</v>
      </c>
      <c r="GP159">
        <f>IF(BI159=4,ROUND(O159+X159+Y159+GK159,2)+GX159,0)</f>
        <v>1592.05</v>
      </c>
      <c r="GR159">
        <v>0</v>
      </c>
      <c r="GS159">
        <v>3</v>
      </c>
      <c r="GT159">
        <v>0</v>
      </c>
      <c r="GU159" t="s">
        <v>3</v>
      </c>
      <c r="GV159">
        <f>ROUND(GT159,2)</f>
        <v>0</v>
      </c>
      <c r="GW159">
        <v>1</v>
      </c>
      <c r="GX159">
        <f>ROUND(GV159*GW159*I159,2)</f>
        <v>0</v>
      </c>
      <c r="HA159">
        <v>0</v>
      </c>
      <c r="HB159">
        <v>0</v>
      </c>
      <c r="IK159">
        <v>0</v>
      </c>
    </row>
    <row r="160" spans="1:245" x14ac:dyDescent="0.2">
      <c r="A160">
        <v>17</v>
      </c>
      <c r="B160">
        <v>1</v>
      </c>
      <c r="C160">
        <f>ROW(SmtRes!A97)</f>
        <v>97</v>
      </c>
      <c r="D160">
        <f>ROW(EtalonRes!A84)</f>
        <v>84</v>
      </c>
      <c r="E160" t="s">
        <v>33</v>
      </c>
      <c r="F160" t="s">
        <v>209</v>
      </c>
      <c r="G160" t="s">
        <v>210</v>
      </c>
      <c r="H160" t="s">
        <v>83</v>
      </c>
      <c r="I160">
        <v>9</v>
      </c>
      <c r="J160">
        <v>0</v>
      </c>
      <c r="O160">
        <f>ROUND(CP160,2)</f>
        <v>2336.04</v>
      </c>
      <c r="P160">
        <f>ROUND(CQ160*I160,2)</f>
        <v>0</v>
      </c>
      <c r="Q160">
        <f>ROUND(CR160*I160,2)</f>
        <v>0</v>
      </c>
      <c r="R160">
        <f>ROUND(CS160*I160,2)</f>
        <v>0</v>
      </c>
      <c r="S160">
        <f>ROUND(CT160*I160,2)</f>
        <v>2336.04</v>
      </c>
      <c r="T160">
        <f>ROUND(CU160*I160,2)</f>
        <v>0</v>
      </c>
      <c r="U160">
        <f>CV160*I160</f>
        <v>7.38</v>
      </c>
      <c r="V160">
        <f>CW160*I160</f>
        <v>0</v>
      </c>
      <c r="W160">
        <f>ROUND(CX160*I160,2)</f>
        <v>0</v>
      </c>
      <c r="X160">
        <f t="shared" si="120"/>
        <v>1284.82</v>
      </c>
      <c r="Y160">
        <f t="shared" si="120"/>
        <v>747.53</v>
      </c>
      <c r="AA160">
        <v>35007309</v>
      </c>
      <c r="AB160">
        <f>ROUND((AC160+AD160+AF160),2)</f>
        <v>10.5</v>
      </c>
      <c r="AC160">
        <f>ROUND((ES160),2)</f>
        <v>0</v>
      </c>
      <c r="AD160">
        <f>ROUND((((ET160)-(EU160))+AE160),2)</f>
        <v>0</v>
      </c>
      <c r="AE160">
        <f>ROUND((EU160),2)</f>
        <v>0</v>
      </c>
      <c r="AF160">
        <f>ROUND((EV160),2)</f>
        <v>10.5</v>
      </c>
      <c r="AG160">
        <f>ROUND((AP160),2)</f>
        <v>0</v>
      </c>
      <c r="AH160">
        <f>(EW160)</f>
        <v>0.82</v>
      </c>
      <c r="AI160">
        <f>(EX160)</f>
        <v>0</v>
      </c>
      <c r="AJ160">
        <f>ROUND((AS160),2)</f>
        <v>0</v>
      </c>
      <c r="AK160">
        <v>10.5</v>
      </c>
      <c r="AL160">
        <v>0</v>
      </c>
      <c r="AM160">
        <v>0</v>
      </c>
      <c r="AN160">
        <v>0</v>
      </c>
      <c r="AO160">
        <v>10.5</v>
      </c>
      <c r="AP160">
        <v>0</v>
      </c>
      <c r="AQ160">
        <v>0.82</v>
      </c>
      <c r="AR160">
        <v>0</v>
      </c>
      <c r="AS160">
        <v>0</v>
      </c>
      <c r="AT160">
        <v>55</v>
      </c>
      <c r="AU160">
        <v>32</v>
      </c>
      <c r="AV160">
        <v>1</v>
      </c>
      <c r="AW160">
        <v>1</v>
      </c>
      <c r="AZ160">
        <v>1</v>
      </c>
      <c r="BA160">
        <v>24.72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0</v>
      </c>
      <c r="BI160">
        <v>4</v>
      </c>
      <c r="BJ160" t="s">
        <v>211</v>
      </c>
      <c r="BM160">
        <v>200001</v>
      </c>
      <c r="BN160">
        <v>31265683</v>
      </c>
      <c r="BO160" t="s">
        <v>3</v>
      </c>
      <c r="BP160">
        <v>0</v>
      </c>
      <c r="BQ160">
        <v>4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65</v>
      </c>
      <c r="CA160">
        <v>40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>(P160+Q160+S160)</f>
        <v>2336.04</v>
      </c>
      <c r="CQ160">
        <f>AC160*BC160</f>
        <v>0</v>
      </c>
      <c r="CR160">
        <f>AD160*BB160</f>
        <v>0</v>
      </c>
      <c r="CS160">
        <f>AE160*BS160</f>
        <v>0</v>
      </c>
      <c r="CT160">
        <f>AF160*BA160</f>
        <v>259.56</v>
      </c>
      <c r="CU160">
        <f t="shared" si="121"/>
        <v>0</v>
      </c>
      <c r="CV160">
        <f t="shared" si="121"/>
        <v>0.82</v>
      </c>
      <c r="CW160">
        <f t="shared" si="121"/>
        <v>0</v>
      </c>
      <c r="CX160">
        <f t="shared" si="121"/>
        <v>0</v>
      </c>
      <c r="CY160">
        <f>(((S160+R160)*AT160)/100)</f>
        <v>1284.8219999999999</v>
      </c>
      <c r="CZ160">
        <f>(((S160+R160)*AU160)/100)</f>
        <v>747.53279999999995</v>
      </c>
      <c r="DC160" t="s">
        <v>3</v>
      </c>
      <c r="DD160" t="s">
        <v>3</v>
      </c>
      <c r="DE160" t="s">
        <v>3</v>
      </c>
      <c r="DF160" t="s">
        <v>3</v>
      </c>
      <c r="DG160" t="s">
        <v>3</v>
      </c>
      <c r="DH160" t="s">
        <v>3</v>
      </c>
      <c r="DI160" t="s">
        <v>3</v>
      </c>
      <c r="DJ160" t="s">
        <v>3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1013</v>
      </c>
      <c r="DV160" t="s">
        <v>83</v>
      </c>
      <c r="DW160" t="s">
        <v>83</v>
      </c>
      <c r="DX160">
        <v>1</v>
      </c>
      <c r="EE160">
        <v>31266019</v>
      </c>
      <c r="EF160">
        <v>4</v>
      </c>
      <c r="EG160" t="s">
        <v>201</v>
      </c>
      <c r="EH160">
        <v>0</v>
      </c>
      <c r="EI160" t="s">
        <v>3</v>
      </c>
      <c r="EJ160">
        <v>4</v>
      </c>
      <c r="EK160">
        <v>200001</v>
      </c>
      <c r="EL160" t="s">
        <v>206</v>
      </c>
      <c r="EM160" t="s">
        <v>207</v>
      </c>
      <c r="EO160" t="s">
        <v>3</v>
      </c>
      <c r="EQ160">
        <v>0</v>
      </c>
      <c r="ER160">
        <v>10.5</v>
      </c>
      <c r="ES160">
        <v>0</v>
      </c>
      <c r="ET160">
        <v>0</v>
      </c>
      <c r="EU160">
        <v>0</v>
      </c>
      <c r="EV160">
        <v>10.5</v>
      </c>
      <c r="EW160">
        <v>0.82</v>
      </c>
      <c r="EX160">
        <v>0</v>
      </c>
      <c r="EY160">
        <v>0</v>
      </c>
      <c r="FQ160">
        <v>0</v>
      </c>
      <c r="FR160">
        <f>ROUND(IF(AND(BH160=3,BI160=3),P160,0),2)</f>
        <v>0</v>
      </c>
      <c r="FS160">
        <v>0</v>
      </c>
      <c r="FV160" t="s">
        <v>26</v>
      </c>
      <c r="FW160" t="s">
        <v>27</v>
      </c>
      <c r="FX160">
        <v>65</v>
      </c>
      <c r="FY160">
        <v>40</v>
      </c>
      <c r="GA160" t="s">
        <v>3</v>
      </c>
      <c r="GD160">
        <v>0</v>
      </c>
      <c r="GF160">
        <v>-1118003811</v>
      </c>
      <c r="GG160">
        <v>2</v>
      </c>
      <c r="GH160">
        <v>1</v>
      </c>
      <c r="GI160">
        <v>2</v>
      </c>
      <c r="GJ160">
        <v>0</v>
      </c>
      <c r="GK160">
        <f>ROUND(R160*(R12)/100,2)</f>
        <v>0</v>
      </c>
      <c r="GL160">
        <f>ROUND(IF(AND(BH160=3,BI160=3,FS160&lt;&gt;0),P160,0),2)</f>
        <v>0</v>
      </c>
      <c r="GM160">
        <f>ROUND(O160+X160+Y160+GK160,2)+GX160</f>
        <v>4368.3900000000003</v>
      </c>
      <c r="GN160">
        <f>IF(OR(BI160=0,BI160=1),ROUND(O160+X160+Y160+GK160,2),0)</f>
        <v>0</v>
      </c>
      <c r="GO160">
        <f>IF(BI160=2,ROUND(O160+X160+Y160+GK160,2),0)</f>
        <v>0</v>
      </c>
      <c r="GP160">
        <f>IF(BI160=4,ROUND(O160+X160+Y160+GK160,2)+GX160,0)</f>
        <v>4368.3900000000003</v>
      </c>
      <c r="GR160">
        <v>0</v>
      </c>
      <c r="GS160">
        <v>3</v>
      </c>
      <c r="GT160">
        <v>0</v>
      </c>
      <c r="GU160" t="s">
        <v>3</v>
      </c>
      <c r="GV160">
        <f>ROUND(GT160,2)</f>
        <v>0</v>
      </c>
      <c r="GW160">
        <v>1</v>
      </c>
      <c r="GX160">
        <f>ROUND(GV160*GW160*I160,2)</f>
        <v>0</v>
      </c>
      <c r="HA160">
        <v>0</v>
      </c>
      <c r="HB160">
        <v>0</v>
      </c>
      <c r="IK160">
        <v>0</v>
      </c>
    </row>
    <row r="161" spans="1:245" x14ac:dyDescent="0.2">
      <c r="A161">
        <v>17</v>
      </c>
      <c r="B161">
        <v>1</v>
      </c>
      <c r="C161">
        <f>ROW(SmtRes!A99)</f>
        <v>99</v>
      </c>
      <c r="D161">
        <f>ROW(EtalonRes!A86)</f>
        <v>86</v>
      </c>
      <c r="E161" t="s">
        <v>41</v>
      </c>
      <c r="F161" t="s">
        <v>212</v>
      </c>
      <c r="G161" t="s">
        <v>213</v>
      </c>
      <c r="H161" t="s">
        <v>214</v>
      </c>
      <c r="I161">
        <v>3</v>
      </c>
      <c r="J161">
        <v>0</v>
      </c>
      <c r="O161">
        <f>ROUND(CP161,2)</f>
        <v>6196.07</v>
      </c>
      <c r="P161">
        <f>ROUND(CQ161*I161,2)</f>
        <v>0</v>
      </c>
      <c r="Q161">
        <f>ROUND(CR161*I161,2)</f>
        <v>0</v>
      </c>
      <c r="R161">
        <f>ROUND(CS161*I161,2)</f>
        <v>0</v>
      </c>
      <c r="S161">
        <f>ROUND(CT161*I161,2)</f>
        <v>6196.07</v>
      </c>
      <c r="T161">
        <f>ROUND(CU161*I161,2)</f>
        <v>0</v>
      </c>
      <c r="U161">
        <f>CV161*I161</f>
        <v>21.87</v>
      </c>
      <c r="V161">
        <f>CW161*I161</f>
        <v>0</v>
      </c>
      <c r="W161">
        <f>ROUND(CX161*I161,2)</f>
        <v>0</v>
      </c>
      <c r="X161">
        <f t="shared" si="120"/>
        <v>3407.84</v>
      </c>
      <c r="Y161">
        <f t="shared" si="120"/>
        <v>1982.74</v>
      </c>
      <c r="AA161">
        <v>35007309</v>
      </c>
      <c r="AB161">
        <f>ROUND((AC161+AD161+AF161),2)</f>
        <v>83.55</v>
      </c>
      <c r="AC161">
        <f>ROUND((ES161),2)</f>
        <v>0</v>
      </c>
      <c r="AD161">
        <f>ROUND((((ET161)-(EU161))+AE161),2)</f>
        <v>0</v>
      </c>
      <c r="AE161">
        <f>ROUND((EU161),2)</f>
        <v>0</v>
      </c>
      <c r="AF161">
        <f>ROUND((EV161),2)</f>
        <v>83.55</v>
      </c>
      <c r="AG161">
        <f>ROUND((AP161),2)</f>
        <v>0</v>
      </c>
      <c r="AH161">
        <f>(EW161)</f>
        <v>7.29</v>
      </c>
      <c r="AI161">
        <f>(EX161)</f>
        <v>0</v>
      </c>
      <c r="AJ161">
        <f>ROUND((AS161),2)</f>
        <v>0</v>
      </c>
      <c r="AK161">
        <v>83.55</v>
      </c>
      <c r="AL161">
        <v>0</v>
      </c>
      <c r="AM161">
        <v>0</v>
      </c>
      <c r="AN161">
        <v>0</v>
      </c>
      <c r="AO161">
        <v>83.55</v>
      </c>
      <c r="AP161">
        <v>0</v>
      </c>
      <c r="AQ161">
        <v>7.29</v>
      </c>
      <c r="AR161">
        <v>0</v>
      </c>
      <c r="AS161">
        <v>0</v>
      </c>
      <c r="AT161">
        <v>55</v>
      </c>
      <c r="AU161">
        <v>32</v>
      </c>
      <c r="AV161">
        <v>1</v>
      </c>
      <c r="AW161">
        <v>1</v>
      </c>
      <c r="AZ161">
        <v>1</v>
      </c>
      <c r="BA161">
        <v>24.72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4</v>
      </c>
      <c r="BJ161" t="s">
        <v>215</v>
      </c>
      <c r="BM161">
        <v>200001</v>
      </c>
      <c r="BN161">
        <v>31265683</v>
      </c>
      <c r="BO161" t="s">
        <v>3</v>
      </c>
      <c r="BP161">
        <v>0</v>
      </c>
      <c r="BQ161">
        <v>4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65</v>
      </c>
      <c r="CA161">
        <v>40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>(P161+Q161+S161)</f>
        <v>6196.07</v>
      </c>
      <c r="CQ161">
        <f>AC161*BC161</f>
        <v>0</v>
      </c>
      <c r="CR161">
        <f>AD161*BB161</f>
        <v>0</v>
      </c>
      <c r="CS161">
        <f>AE161*BS161</f>
        <v>0</v>
      </c>
      <c r="CT161">
        <f>AF161*BA161</f>
        <v>2065.3559999999998</v>
      </c>
      <c r="CU161">
        <f t="shared" si="121"/>
        <v>0</v>
      </c>
      <c r="CV161">
        <f t="shared" si="121"/>
        <v>7.29</v>
      </c>
      <c r="CW161">
        <f t="shared" si="121"/>
        <v>0</v>
      </c>
      <c r="CX161">
        <f t="shared" si="121"/>
        <v>0</v>
      </c>
      <c r="CY161">
        <f>(((S161+R161)*AT161)/100)</f>
        <v>3407.8384999999998</v>
      </c>
      <c r="CZ161">
        <f>(((S161+R161)*AU161)/100)</f>
        <v>1982.7423999999999</v>
      </c>
      <c r="DC161" t="s">
        <v>3</v>
      </c>
      <c r="DD161" t="s">
        <v>3</v>
      </c>
      <c r="DE161" t="s">
        <v>3</v>
      </c>
      <c r="DF161" t="s">
        <v>3</v>
      </c>
      <c r="DG161" t="s">
        <v>3</v>
      </c>
      <c r="DH161" t="s">
        <v>3</v>
      </c>
      <c r="DI161" t="s">
        <v>3</v>
      </c>
      <c r="DJ161" t="s">
        <v>3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1013</v>
      </c>
      <c r="DV161" t="s">
        <v>214</v>
      </c>
      <c r="DW161" t="s">
        <v>214</v>
      </c>
      <c r="DX161">
        <v>1</v>
      </c>
      <c r="EE161">
        <v>31266019</v>
      </c>
      <c r="EF161">
        <v>4</v>
      </c>
      <c r="EG161" t="s">
        <v>201</v>
      </c>
      <c r="EH161">
        <v>0</v>
      </c>
      <c r="EI161" t="s">
        <v>3</v>
      </c>
      <c r="EJ161">
        <v>4</v>
      </c>
      <c r="EK161">
        <v>200001</v>
      </c>
      <c r="EL161" t="s">
        <v>206</v>
      </c>
      <c r="EM161" t="s">
        <v>207</v>
      </c>
      <c r="EO161" t="s">
        <v>3</v>
      </c>
      <c r="EQ161">
        <v>0</v>
      </c>
      <c r="ER161">
        <v>83.55</v>
      </c>
      <c r="ES161">
        <v>0</v>
      </c>
      <c r="ET161">
        <v>0</v>
      </c>
      <c r="EU161">
        <v>0</v>
      </c>
      <c r="EV161">
        <v>83.55</v>
      </c>
      <c r="EW161">
        <v>7.29</v>
      </c>
      <c r="EX161">
        <v>0</v>
      </c>
      <c r="EY161">
        <v>0</v>
      </c>
      <c r="FQ161">
        <v>0</v>
      </c>
      <c r="FR161">
        <f>ROUND(IF(AND(BH161=3,BI161=3),P161,0),2)</f>
        <v>0</v>
      </c>
      <c r="FS161">
        <v>0</v>
      </c>
      <c r="FV161" t="s">
        <v>26</v>
      </c>
      <c r="FW161" t="s">
        <v>27</v>
      </c>
      <c r="FX161">
        <v>65</v>
      </c>
      <c r="FY161">
        <v>40</v>
      </c>
      <c r="GA161" t="s">
        <v>3</v>
      </c>
      <c r="GD161">
        <v>0</v>
      </c>
      <c r="GF161">
        <v>-1078290531</v>
      </c>
      <c r="GG161">
        <v>2</v>
      </c>
      <c r="GH161">
        <v>1</v>
      </c>
      <c r="GI161">
        <v>2</v>
      </c>
      <c r="GJ161">
        <v>0</v>
      </c>
      <c r="GK161">
        <f>ROUND(R161*(R12)/100,2)</f>
        <v>0</v>
      </c>
      <c r="GL161">
        <f>ROUND(IF(AND(BH161=3,BI161=3,FS161&lt;&gt;0),P161,0),2)</f>
        <v>0</v>
      </c>
      <c r="GM161">
        <f>ROUND(O161+X161+Y161+GK161,2)+GX161</f>
        <v>11586.65</v>
      </c>
      <c r="GN161">
        <f>IF(OR(BI161=0,BI161=1),ROUND(O161+X161+Y161+GK161,2),0)</f>
        <v>0</v>
      </c>
      <c r="GO161">
        <f>IF(BI161=2,ROUND(O161+X161+Y161+GK161,2),0)</f>
        <v>0</v>
      </c>
      <c r="GP161">
        <f>IF(BI161=4,ROUND(O161+X161+Y161+GK161,2)+GX161,0)</f>
        <v>11586.65</v>
      </c>
      <c r="GR161">
        <v>0</v>
      </c>
      <c r="GS161">
        <v>3</v>
      </c>
      <c r="GT161">
        <v>0</v>
      </c>
      <c r="GU161" t="s">
        <v>3</v>
      </c>
      <c r="GV161">
        <f>ROUND(GT161,2)</f>
        <v>0</v>
      </c>
      <c r="GW161">
        <v>1</v>
      </c>
      <c r="GX161">
        <f>ROUND(GV161*GW161*I161,2)</f>
        <v>0</v>
      </c>
      <c r="HA161">
        <v>0</v>
      </c>
      <c r="HB161">
        <v>0</v>
      </c>
      <c r="IK161">
        <v>0</v>
      </c>
    </row>
    <row r="162" spans="1:245" x14ac:dyDescent="0.2">
      <c r="A162">
        <v>17</v>
      </c>
      <c r="B162">
        <v>1</v>
      </c>
      <c r="C162">
        <f>ROW(SmtRes!A101)</f>
        <v>101</v>
      </c>
      <c r="D162">
        <f>ROW(EtalonRes!A88)</f>
        <v>88</v>
      </c>
      <c r="E162" t="s">
        <v>54</v>
      </c>
      <c r="F162" t="s">
        <v>216</v>
      </c>
      <c r="G162" t="s">
        <v>217</v>
      </c>
      <c r="H162" t="s">
        <v>83</v>
      </c>
      <c r="I162">
        <v>1</v>
      </c>
      <c r="J162">
        <v>0</v>
      </c>
      <c r="O162">
        <f>ROUND(CP162,2)</f>
        <v>386.13</v>
      </c>
      <c r="P162">
        <f>ROUND(CQ162*I162,2)</f>
        <v>0</v>
      </c>
      <c r="Q162">
        <f>ROUND(CR162*I162,2)</f>
        <v>0</v>
      </c>
      <c r="R162">
        <f>ROUND(CS162*I162,2)</f>
        <v>0</v>
      </c>
      <c r="S162">
        <f>ROUND(CT162*I162,2)</f>
        <v>386.13</v>
      </c>
      <c r="T162">
        <f>ROUND(CU162*I162,2)</f>
        <v>0</v>
      </c>
      <c r="U162">
        <f>CV162*I162</f>
        <v>1.22</v>
      </c>
      <c r="V162">
        <f>CW162*I162</f>
        <v>0</v>
      </c>
      <c r="W162">
        <f>ROUND(CX162*I162,2)</f>
        <v>0</v>
      </c>
      <c r="X162">
        <f t="shared" si="120"/>
        <v>212.37</v>
      </c>
      <c r="Y162">
        <f t="shared" si="120"/>
        <v>123.56</v>
      </c>
      <c r="AA162">
        <v>35007309</v>
      </c>
      <c r="AB162">
        <f>ROUND((AC162+AD162+AF162),2)</f>
        <v>15.62</v>
      </c>
      <c r="AC162">
        <f>ROUND((ES162),2)</f>
        <v>0</v>
      </c>
      <c r="AD162">
        <f>ROUND((((ET162)-(EU162))+AE162),2)</f>
        <v>0</v>
      </c>
      <c r="AE162">
        <f>ROUND((EU162),2)</f>
        <v>0</v>
      </c>
      <c r="AF162">
        <f>ROUND((EV162),2)</f>
        <v>15.62</v>
      </c>
      <c r="AG162">
        <f>ROUND((AP162),2)</f>
        <v>0</v>
      </c>
      <c r="AH162">
        <f>(EW162)</f>
        <v>1.22</v>
      </c>
      <c r="AI162">
        <f>(EX162)</f>
        <v>0</v>
      </c>
      <c r="AJ162">
        <f>ROUND((AS162),2)</f>
        <v>0</v>
      </c>
      <c r="AK162">
        <v>15.62</v>
      </c>
      <c r="AL162">
        <v>0</v>
      </c>
      <c r="AM162">
        <v>0</v>
      </c>
      <c r="AN162">
        <v>0</v>
      </c>
      <c r="AO162">
        <v>15.62</v>
      </c>
      <c r="AP162">
        <v>0</v>
      </c>
      <c r="AQ162">
        <v>1.22</v>
      </c>
      <c r="AR162">
        <v>0</v>
      </c>
      <c r="AS162">
        <v>0</v>
      </c>
      <c r="AT162">
        <v>55</v>
      </c>
      <c r="AU162">
        <v>32</v>
      </c>
      <c r="AV162">
        <v>1</v>
      </c>
      <c r="AW162">
        <v>1</v>
      </c>
      <c r="AZ162">
        <v>1</v>
      </c>
      <c r="BA162">
        <v>24.72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0</v>
      </c>
      <c r="BI162">
        <v>4</v>
      </c>
      <c r="BJ162" t="s">
        <v>218</v>
      </c>
      <c r="BM162">
        <v>200001</v>
      </c>
      <c r="BN162">
        <v>31265683</v>
      </c>
      <c r="BO162" t="s">
        <v>3</v>
      </c>
      <c r="BP162">
        <v>0</v>
      </c>
      <c r="BQ162">
        <v>4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65</v>
      </c>
      <c r="CA162">
        <v>40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>(P162+Q162+S162)</f>
        <v>386.13</v>
      </c>
      <c r="CQ162">
        <f>AC162*BC162</f>
        <v>0</v>
      </c>
      <c r="CR162">
        <f>AD162*BB162</f>
        <v>0</v>
      </c>
      <c r="CS162">
        <f>AE162*BS162</f>
        <v>0</v>
      </c>
      <c r="CT162">
        <f>AF162*BA162</f>
        <v>386.12639999999999</v>
      </c>
      <c r="CU162">
        <f t="shared" si="121"/>
        <v>0</v>
      </c>
      <c r="CV162">
        <f t="shared" si="121"/>
        <v>1.22</v>
      </c>
      <c r="CW162">
        <f t="shared" si="121"/>
        <v>0</v>
      </c>
      <c r="CX162">
        <f t="shared" si="121"/>
        <v>0</v>
      </c>
      <c r="CY162">
        <f>(((S162+R162)*AT162)/100)</f>
        <v>212.37150000000003</v>
      </c>
      <c r="CZ162">
        <f>(((S162+R162)*AU162)/100)</f>
        <v>123.5616</v>
      </c>
      <c r="DC162" t="s">
        <v>3</v>
      </c>
      <c r="DD162" t="s">
        <v>3</v>
      </c>
      <c r="DE162" t="s">
        <v>3</v>
      </c>
      <c r="DF162" t="s">
        <v>3</v>
      </c>
      <c r="DG162" t="s">
        <v>3</v>
      </c>
      <c r="DH162" t="s">
        <v>3</v>
      </c>
      <c r="DI162" t="s">
        <v>3</v>
      </c>
      <c r="DJ162" t="s">
        <v>3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1013</v>
      </c>
      <c r="DV162" t="s">
        <v>83</v>
      </c>
      <c r="DW162" t="s">
        <v>83</v>
      </c>
      <c r="DX162">
        <v>1</v>
      </c>
      <c r="EE162">
        <v>31266019</v>
      </c>
      <c r="EF162">
        <v>4</v>
      </c>
      <c r="EG162" t="s">
        <v>201</v>
      </c>
      <c r="EH162">
        <v>0</v>
      </c>
      <c r="EI162" t="s">
        <v>3</v>
      </c>
      <c r="EJ162">
        <v>4</v>
      </c>
      <c r="EK162">
        <v>200001</v>
      </c>
      <c r="EL162" t="s">
        <v>206</v>
      </c>
      <c r="EM162" t="s">
        <v>207</v>
      </c>
      <c r="EO162" t="s">
        <v>3</v>
      </c>
      <c r="EQ162">
        <v>0</v>
      </c>
      <c r="ER162">
        <v>15.62</v>
      </c>
      <c r="ES162">
        <v>0</v>
      </c>
      <c r="ET162">
        <v>0</v>
      </c>
      <c r="EU162">
        <v>0</v>
      </c>
      <c r="EV162">
        <v>15.62</v>
      </c>
      <c r="EW162">
        <v>1.22</v>
      </c>
      <c r="EX162">
        <v>0</v>
      </c>
      <c r="EY162">
        <v>0</v>
      </c>
      <c r="FQ162">
        <v>0</v>
      </c>
      <c r="FR162">
        <f>ROUND(IF(AND(BH162=3,BI162=3),P162,0),2)</f>
        <v>0</v>
      </c>
      <c r="FS162">
        <v>0</v>
      </c>
      <c r="FV162" t="s">
        <v>26</v>
      </c>
      <c r="FW162" t="s">
        <v>27</v>
      </c>
      <c r="FX162">
        <v>65</v>
      </c>
      <c r="FY162">
        <v>40</v>
      </c>
      <c r="GA162" t="s">
        <v>3</v>
      </c>
      <c r="GD162">
        <v>0</v>
      </c>
      <c r="GF162">
        <v>-829332442</v>
      </c>
      <c r="GG162">
        <v>2</v>
      </c>
      <c r="GH162">
        <v>1</v>
      </c>
      <c r="GI162">
        <v>2</v>
      </c>
      <c r="GJ162">
        <v>0</v>
      </c>
      <c r="GK162">
        <f>ROUND(R162*(R12)/100,2)</f>
        <v>0</v>
      </c>
      <c r="GL162">
        <f>ROUND(IF(AND(BH162=3,BI162=3,FS162&lt;&gt;0),P162,0),2)</f>
        <v>0</v>
      </c>
      <c r="GM162">
        <f>ROUND(O162+X162+Y162+GK162,2)+GX162</f>
        <v>722.06</v>
      </c>
      <c r="GN162">
        <f>IF(OR(BI162=0,BI162=1),ROUND(O162+X162+Y162+GK162,2),0)</f>
        <v>0</v>
      </c>
      <c r="GO162">
        <f>IF(BI162=2,ROUND(O162+X162+Y162+GK162,2),0)</f>
        <v>0</v>
      </c>
      <c r="GP162">
        <f>IF(BI162=4,ROUND(O162+X162+Y162+GK162,2)+GX162,0)</f>
        <v>722.06</v>
      </c>
      <c r="GR162">
        <v>0</v>
      </c>
      <c r="GS162">
        <v>3</v>
      </c>
      <c r="GT162">
        <v>0</v>
      </c>
      <c r="GU162" t="s">
        <v>3</v>
      </c>
      <c r="GV162">
        <f>ROUND(GT162,2)</f>
        <v>0</v>
      </c>
      <c r="GW162">
        <v>1</v>
      </c>
      <c r="GX162">
        <f>ROUND(GV162*GW162*I162,2)</f>
        <v>0</v>
      </c>
      <c r="HA162">
        <v>0</v>
      </c>
      <c r="HB162">
        <v>0</v>
      </c>
      <c r="IK162">
        <v>0</v>
      </c>
    </row>
    <row r="164" spans="1:245" x14ac:dyDescent="0.2">
      <c r="A164" s="2">
        <v>51</v>
      </c>
      <c r="B164" s="2">
        <f>B155</f>
        <v>1</v>
      </c>
      <c r="C164" s="2">
        <f>A155</f>
        <v>4</v>
      </c>
      <c r="D164" s="2">
        <f>ROW(A155)</f>
        <v>155</v>
      </c>
      <c r="E164" s="2"/>
      <c r="F164" s="2" t="str">
        <f>IF(F155&lt;&gt;"",F155,"")</f>
        <v>Новый раздел</v>
      </c>
      <c r="G164" s="2" t="str">
        <f>IF(G155&lt;&gt;"",G155,"")</f>
        <v>РУ 0,4 кВ №1</v>
      </c>
      <c r="H164" s="2">
        <v>0</v>
      </c>
      <c r="I164" s="2"/>
      <c r="J164" s="2"/>
      <c r="K164" s="2"/>
      <c r="L164" s="2"/>
      <c r="M164" s="2"/>
      <c r="N164" s="2"/>
      <c r="O164" s="2">
        <f t="shared" ref="O164:T164" si="122">ROUND(AB164,2)</f>
        <v>9769.6</v>
      </c>
      <c r="P164" s="2">
        <f t="shared" si="122"/>
        <v>0</v>
      </c>
      <c r="Q164" s="2">
        <f t="shared" si="122"/>
        <v>0</v>
      </c>
      <c r="R164" s="2">
        <f t="shared" si="122"/>
        <v>0</v>
      </c>
      <c r="S164" s="2">
        <f t="shared" si="122"/>
        <v>9769.6</v>
      </c>
      <c r="T164" s="2">
        <f t="shared" si="122"/>
        <v>0</v>
      </c>
      <c r="U164" s="2">
        <f>AH164</f>
        <v>33.158000000000001</v>
      </c>
      <c r="V164" s="2">
        <f>AI164</f>
        <v>0</v>
      </c>
      <c r="W164" s="2">
        <f>ROUND(AJ164,2)</f>
        <v>0</v>
      </c>
      <c r="X164" s="2">
        <f>ROUND(AK164,2)</f>
        <v>5373.28</v>
      </c>
      <c r="Y164" s="2">
        <f>ROUND(AL164,2)</f>
        <v>3126.27</v>
      </c>
      <c r="Z164" s="2"/>
      <c r="AA164" s="2"/>
      <c r="AB164" s="2">
        <f>ROUND(SUMIF(AA159:AA162,"=35007309",O159:O162),2)</f>
        <v>9769.6</v>
      </c>
      <c r="AC164" s="2">
        <f>ROUND(SUMIF(AA159:AA162,"=35007309",P159:P162),2)</f>
        <v>0</v>
      </c>
      <c r="AD164" s="2">
        <f>ROUND(SUMIF(AA159:AA162,"=35007309",Q159:Q162),2)</f>
        <v>0</v>
      </c>
      <c r="AE164" s="2">
        <f>ROUND(SUMIF(AA159:AA162,"=35007309",R159:R162),2)</f>
        <v>0</v>
      </c>
      <c r="AF164" s="2">
        <f>ROUND(SUMIF(AA159:AA162,"=35007309",S159:S162),2)</f>
        <v>9769.6</v>
      </c>
      <c r="AG164" s="2">
        <f>ROUND(SUMIF(AA159:AA162,"=35007309",T159:T162),2)</f>
        <v>0</v>
      </c>
      <c r="AH164" s="2">
        <f>SUMIF(AA159:AA162,"=35007309",U159:U162)</f>
        <v>33.158000000000001</v>
      </c>
      <c r="AI164" s="2">
        <f>SUMIF(AA159:AA162,"=35007309",V159:V162)</f>
        <v>0</v>
      </c>
      <c r="AJ164" s="2">
        <f>ROUND(SUMIF(AA159:AA162,"=35007309",W159:W162),2)</f>
        <v>0</v>
      </c>
      <c r="AK164" s="2">
        <f>ROUND(SUMIF(AA159:AA162,"=35007309",X159:X162),2)</f>
        <v>5373.28</v>
      </c>
      <c r="AL164" s="2">
        <f>ROUND(SUMIF(AA159:AA162,"=35007309",Y159:Y162),2)</f>
        <v>3126.27</v>
      </c>
      <c r="AM164" s="2"/>
      <c r="AN164" s="2"/>
      <c r="AO164" s="2">
        <f t="shared" ref="AO164:BC164" si="123">ROUND(BX164,2)</f>
        <v>0</v>
      </c>
      <c r="AP164" s="2">
        <f t="shared" si="123"/>
        <v>0</v>
      </c>
      <c r="AQ164" s="2">
        <f t="shared" si="123"/>
        <v>0</v>
      </c>
      <c r="AR164" s="2">
        <f t="shared" si="123"/>
        <v>18269.150000000001</v>
      </c>
      <c r="AS164" s="2">
        <f t="shared" si="123"/>
        <v>0</v>
      </c>
      <c r="AT164" s="2">
        <f t="shared" si="123"/>
        <v>0</v>
      </c>
      <c r="AU164" s="2">
        <f t="shared" si="123"/>
        <v>18269.150000000001</v>
      </c>
      <c r="AV164" s="2">
        <f t="shared" si="123"/>
        <v>0</v>
      </c>
      <c r="AW164" s="2">
        <f t="shared" si="123"/>
        <v>0</v>
      </c>
      <c r="AX164" s="2">
        <f t="shared" si="123"/>
        <v>0</v>
      </c>
      <c r="AY164" s="2">
        <f t="shared" si="123"/>
        <v>0</v>
      </c>
      <c r="AZ164" s="2">
        <f t="shared" si="123"/>
        <v>0</v>
      </c>
      <c r="BA164" s="2">
        <f t="shared" si="123"/>
        <v>0</v>
      </c>
      <c r="BB164" s="2">
        <f t="shared" si="123"/>
        <v>0</v>
      </c>
      <c r="BC164" s="2">
        <f t="shared" si="123"/>
        <v>0</v>
      </c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>
        <f>ROUND(SUMIF(AA159:AA162,"=35007309",FQ159:FQ162),2)</f>
        <v>0</v>
      </c>
      <c r="BY164" s="2">
        <f>ROUND(SUMIF(AA159:AA162,"=35007309",FR159:FR162),2)</f>
        <v>0</v>
      </c>
      <c r="BZ164" s="2">
        <f>ROUND(SUMIF(AA159:AA162,"=35007309",GL159:GL162),2)</f>
        <v>0</v>
      </c>
      <c r="CA164" s="2">
        <f>ROUND(SUMIF(AA159:AA162,"=35007309",GM159:GM162),2)</f>
        <v>18269.150000000001</v>
      </c>
      <c r="CB164" s="2">
        <f>ROUND(SUMIF(AA159:AA162,"=35007309",GN159:GN162),2)</f>
        <v>0</v>
      </c>
      <c r="CC164" s="2">
        <f>ROUND(SUMIF(AA159:AA162,"=35007309",GO159:GO162),2)</f>
        <v>0</v>
      </c>
      <c r="CD164" s="2">
        <f>ROUND(SUMIF(AA159:AA162,"=35007309",GP159:GP162),2)</f>
        <v>18269.150000000001</v>
      </c>
      <c r="CE164" s="2">
        <f>AC164-BX164</f>
        <v>0</v>
      </c>
      <c r="CF164" s="2">
        <f>AC164-BY164</f>
        <v>0</v>
      </c>
      <c r="CG164" s="2">
        <f>BX164-BZ164</f>
        <v>0</v>
      </c>
      <c r="CH164" s="2">
        <f>AC164-BX164-BY164+BZ164</f>
        <v>0</v>
      </c>
      <c r="CI164" s="2">
        <f>BY164-BZ164</f>
        <v>0</v>
      </c>
      <c r="CJ164" s="2">
        <f>ROUND(SUMIF(AA159:AA162,"=35007309",GX159:GX162),2)</f>
        <v>0</v>
      </c>
      <c r="CK164" s="2">
        <f>ROUND(SUMIF(AA159:AA162,"=35007309",GY159:GY162),2)</f>
        <v>0</v>
      </c>
      <c r="CL164" s="2">
        <f>ROUND(SUMIF(AA159:AA162,"=35007309",GZ159:GZ162),2)</f>
        <v>0</v>
      </c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>
        <v>0</v>
      </c>
    </row>
    <row r="166" spans="1:245" x14ac:dyDescent="0.2">
      <c r="A166" s="4">
        <v>50</v>
      </c>
      <c r="B166" s="4">
        <v>0</v>
      </c>
      <c r="C166" s="4">
        <v>0</v>
      </c>
      <c r="D166" s="4">
        <v>1</v>
      </c>
      <c r="E166" s="4">
        <v>201</v>
      </c>
      <c r="F166" s="4">
        <f>ROUND(Source!O164,O166)</f>
        <v>9769.6</v>
      </c>
      <c r="G166" s="4" t="s">
        <v>128</v>
      </c>
      <c r="H166" s="4" t="s">
        <v>129</v>
      </c>
      <c r="I166" s="4"/>
      <c r="J166" s="4"/>
      <c r="K166" s="4">
        <v>201</v>
      </c>
      <c r="L166" s="4">
        <v>1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45" x14ac:dyDescent="0.2">
      <c r="A167" s="4">
        <v>50</v>
      </c>
      <c r="B167" s="4">
        <v>0</v>
      </c>
      <c r="C167" s="4">
        <v>0</v>
      </c>
      <c r="D167" s="4">
        <v>1</v>
      </c>
      <c r="E167" s="4">
        <v>202</v>
      </c>
      <c r="F167" s="4">
        <f>ROUND(Source!P164,O167)</f>
        <v>0</v>
      </c>
      <c r="G167" s="4" t="s">
        <v>130</v>
      </c>
      <c r="H167" s="4" t="s">
        <v>131</v>
      </c>
      <c r="I167" s="4"/>
      <c r="J167" s="4"/>
      <c r="K167" s="4">
        <v>202</v>
      </c>
      <c r="L167" s="4">
        <v>2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45" x14ac:dyDescent="0.2">
      <c r="A168" s="4">
        <v>50</v>
      </c>
      <c r="B168" s="4">
        <v>0</v>
      </c>
      <c r="C168" s="4">
        <v>0</v>
      </c>
      <c r="D168" s="4">
        <v>1</v>
      </c>
      <c r="E168" s="4">
        <v>222</v>
      </c>
      <c r="F168" s="4">
        <f>ROUND(Source!AO164,O168)</f>
        <v>0</v>
      </c>
      <c r="G168" s="4" t="s">
        <v>132</v>
      </c>
      <c r="H168" s="4" t="s">
        <v>133</v>
      </c>
      <c r="I168" s="4"/>
      <c r="J168" s="4"/>
      <c r="K168" s="4">
        <v>222</v>
      </c>
      <c r="L168" s="4">
        <v>3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45" x14ac:dyDescent="0.2">
      <c r="A169" s="4">
        <v>50</v>
      </c>
      <c r="B169" s="4">
        <v>0</v>
      </c>
      <c r="C169" s="4">
        <v>0</v>
      </c>
      <c r="D169" s="4">
        <v>1</v>
      </c>
      <c r="E169" s="4">
        <v>225</v>
      </c>
      <c r="F169" s="4">
        <f>ROUND(Source!AV164,O169)</f>
        <v>0</v>
      </c>
      <c r="G169" s="4" t="s">
        <v>134</v>
      </c>
      <c r="H169" s="4" t="s">
        <v>135</v>
      </c>
      <c r="I169" s="4"/>
      <c r="J169" s="4"/>
      <c r="K169" s="4">
        <v>225</v>
      </c>
      <c r="L169" s="4">
        <v>4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45" x14ac:dyDescent="0.2">
      <c r="A170" s="4">
        <v>50</v>
      </c>
      <c r="B170" s="4">
        <v>0</v>
      </c>
      <c r="C170" s="4">
        <v>0</v>
      </c>
      <c r="D170" s="4">
        <v>1</v>
      </c>
      <c r="E170" s="4">
        <v>226</v>
      </c>
      <c r="F170" s="4">
        <f>ROUND(Source!AW164,O170)</f>
        <v>0</v>
      </c>
      <c r="G170" s="4" t="s">
        <v>136</v>
      </c>
      <c r="H170" s="4" t="s">
        <v>137</v>
      </c>
      <c r="I170" s="4"/>
      <c r="J170" s="4"/>
      <c r="K170" s="4">
        <v>226</v>
      </c>
      <c r="L170" s="4">
        <v>5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45" x14ac:dyDescent="0.2">
      <c r="A171" s="4">
        <v>50</v>
      </c>
      <c r="B171" s="4">
        <v>0</v>
      </c>
      <c r="C171" s="4">
        <v>0</v>
      </c>
      <c r="D171" s="4">
        <v>1</v>
      </c>
      <c r="E171" s="4">
        <v>227</v>
      </c>
      <c r="F171" s="4">
        <f>ROUND(Source!AX164,O171)</f>
        <v>0</v>
      </c>
      <c r="G171" s="4" t="s">
        <v>138</v>
      </c>
      <c r="H171" s="4" t="s">
        <v>139</v>
      </c>
      <c r="I171" s="4"/>
      <c r="J171" s="4"/>
      <c r="K171" s="4">
        <v>227</v>
      </c>
      <c r="L171" s="4">
        <v>6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45" x14ac:dyDescent="0.2">
      <c r="A172" s="4">
        <v>50</v>
      </c>
      <c r="B172" s="4">
        <v>0</v>
      </c>
      <c r="C172" s="4">
        <v>0</v>
      </c>
      <c r="D172" s="4">
        <v>1</v>
      </c>
      <c r="E172" s="4">
        <v>228</v>
      </c>
      <c r="F172" s="4">
        <f>ROUND(Source!AY164,O172)</f>
        <v>0</v>
      </c>
      <c r="G172" s="4" t="s">
        <v>140</v>
      </c>
      <c r="H172" s="4" t="s">
        <v>141</v>
      </c>
      <c r="I172" s="4"/>
      <c r="J172" s="4"/>
      <c r="K172" s="4">
        <v>228</v>
      </c>
      <c r="L172" s="4">
        <v>7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216</v>
      </c>
      <c r="F173" s="4">
        <f>ROUND(Source!AP164,O173)</f>
        <v>0</v>
      </c>
      <c r="G173" s="4" t="s">
        <v>142</v>
      </c>
      <c r="H173" s="4" t="s">
        <v>143</v>
      </c>
      <c r="I173" s="4"/>
      <c r="J173" s="4"/>
      <c r="K173" s="4">
        <v>216</v>
      </c>
      <c r="L173" s="4">
        <v>8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223</v>
      </c>
      <c r="F174" s="4">
        <f>ROUND(Source!AQ164,O174)</f>
        <v>0</v>
      </c>
      <c r="G174" s="4" t="s">
        <v>144</v>
      </c>
      <c r="H174" s="4" t="s">
        <v>145</v>
      </c>
      <c r="I174" s="4"/>
      <c r="J174" s="4"/>
      <c r="K174" s="4">
        <v>223</v>
      </c>
      <c r="L174" s="4">
        <v>9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229</v>
      </c>
      <c r="F175" s="4">
        <f>ROUND(Source!AZ164,O175)</f>
        <v>0</v>
      </c>
      <c r="G175" s="4" t="s">
        <v>146</v>
      </c>
      <c r="H175" s="4" t="s">
        <v>147</v>
      </c>
      <c r="I175" s="4"/>
      <c r="J175" s="4"/>
      <c r="K175" s="4">
        <v>229</v>
      </c>
      <c r="L175" s="4">
        <v>10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203</v>
      </c>
      <c r="F176" s="4">
        <f>ROUND(Source!Q164,O176)</f>
        <v>0</v>
      </c>
      <c r="G176" s="4" t="s">
        <v>148</v>
      </c>
      <c r="H176" s="4" t="s">
        <v>149</v>
      </c>
      <c r="I176" s="4"/>
      <c r="J176" s="4"/>
      <c r="K176" s="4">
        <v>203</v>
      </c>
      <c r="L176" s="4">
        <v>11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231</v>
      </c>
      <c r="F177" s="4">
        <f>ROUND(Source!BB164,O177)</f>
        <v>0</v>
      </c>
      <c r="G177" s="4" t="s">
        <v>150</v>
      </c>
      <c r="H177" s="4" t="s">
        <v>151</v>
      </c>
      <c r="I177" s="4"/>
      <c r="J177" s="4"/>
      <c r="K177" s="4">
        <v>231</v>
      </c>
      <c r="L177" s="4">
        <v>12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204</v>
      </c>
      <c r="F178" s="4">
        <f>ROUND(Source!R164,O178)</f>
        <v>0</v>
      </c>
      <c r="G178" s="4" t="s">
        <v>152</v>
      </c>
      <c r="H178" s="4" t="s">
        <v>153</v>
      </c>
      <c r="I178" s="4"/>
      <c r="J178" s="4"/>
      <c r="K178" s="4">
        <v>204</v>
      </c>
      <c r="L178" s="4">
        <v>13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205</v>
      </c>
      <c r="F179" s="4">
        <f>ROUND(Source!S164,O179)</f>
        <v>9769.6</v>
      </c>
      <c r="G179" s="4" t="s">
        <v>154</v>
      </c>
      <c r="H179" s="4" t="s">
        <v>155</v>
      </c>
      <c r="I179" s="4"/>
      <c r="J179" s="4"/>
      <c r="K179" s="4">
        <v>205</v>
      </c>
      <c r="L179" s="4">
        <v>14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232</v>
      </c>
      <c r="F180" s="4">
        <f>ROUND(Source!BC164,O180)</f>
        <v>0</v>
      </c>
      <c r="G180" s="4" t="s">
        <v>156</v>
      </c>
      <c r="H180" s="4" t="s">
        <v>157</v>
      </c>
      <c r="I180" s="4"/>
      <c r="J180" s="4"/>
      <c r="K180" s="4">
        <v>232</v>
      </c>
      <c r="L180" s="4">
        <v>15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214</v>
      </c>
      <c r="F181" s="4">
        <f>ROUND(Source!AS164,O181)</f>
        <v>0</v>
      </c>
      <c r="G181" s="4" t="s">
        <v>158</v>
      </c>
      <c r="H181" s="4" t="s">
        <v>159</v>
      </c>
      <c r="I181" s="4"/>
      <c r="J181" s="4"/>
      <c r="K181" s="4">
        <v>214</v>
      </c>
      <c r="L181" s="4">
        <v>16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215</v>
      </c>
      <c r="F182" s="4">
        <f>ROUND(Source!AT164,O182)</f>
        <v>0</v>
      </c>
      <c r="G182" s="4" t="s">
        <v>160</v>
      </c>
      <c r="H182" s="4" t="s">
        <v>161</v>
      </c>
      <c r="I182" s="4"/>
      <c r="J182" s="4"/>
      <c r="K182" s="4">
        <v>215</v>
      </c>
      <c r="L182" s="4">
        <v>17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217</v>
      </c>
      <c r="F183" s="4">
        <f>ROUND(Source!AU164,O183)</f>
        <v>18269.150000000001</v>
      </c>
      <c r="G183" s="4" t="s">
        <v>162</v>
      </c>
      <c r="H183" s="4" t="s">
        <v>163</v>
      </c>
      <c r="I183" s="4"/>
      <c r="J183" s="4"/>
      <c r="K183" s="4">
        <v>217</v>
      </c>
      <c r="L183" s="4">
        <v>18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230</v>
      </c>
      <c r="F184" s="4">
        <f>ROUND(Source!BA164,O184)</f>
        <v>0</v>
      </c>
      <c r="G184" s="4" t="s">
        <v>164</v>
      </c>
      <c r="H184" s="4" t="s">
        <v>165</v>
      </c>
      <c r="I184" s="4"/>
      <c r="J184" s="4"/>
      <c r="K184" s="4">
        <v>230</v>
      </c>
      <c r="L184" s="4">
        <v>19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206</v>
      </c>
      <c r="F185" s="4">
        <f>ROUND(Source!T164,O185)</f>
        <v>0</v>
      </c>
      <c r="G185" s="4" t="s">
        <v>166</v>
      </c>
      <c r="H185" s="4" t="s">
        <v>167</v>
      </c>
      <c r="I185" s="4"/>
      <c r="J185" s="4"/>
      <c r="K185" s="4">
        <v>206</v>
      </c>
      <c r="L185" s="4">
        <v>20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207</v>
      </c>
      <c r="F186" s="4">
        <f>Source!U164</f>
        <v>33.158000000000001</v>
      </c>
      <c r="G186" s="4" t="s">
        <v>168</v>
      </c>
      <c r="H186" s="4" t="s">
        <v>169</v>
      </c>
      <c r="I186" s="4"/>
      <c r="J186" s="4"/>
      <c r="K186" s="4">
        <v>207</v>
      </c>
      <c r="L186" s="4">
        <v>21</v>
      </c>
      <c r="M186" s="4">
        <v>3</v>
      </c>
      <c r="N186" s="4" t="s">
        <v>3</v>
      </c>
      <c r="O186" s="4">
        <v>-1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208</v>
      </c>
      <c r="F187" s="4">
        <f>Source!V164</f>
        <v>0</v>
      </c>
      <c r="G187" s="4" t="s">
        <v>170</v>
      </c>
      <c r="H187" s="4" t="s">
        <v>171</v>
      </c>
      <c r="I187" s="4"/>
      <c r="J187" s="4"/>
      <c r="K187" s="4">
        <v>208</v>
      </c>
      <c r="L187" s="4">
        <v>22</v>
      </c>
      <c r="M187" s="4">
        <v>3</v>
      </c>
      <c r="N187" s="4" t="s">
        <v>3</v>
      </c>
      <c r="O187" s="4">
        <v>-1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209</v>
      </c>
      <c r="F188" s="4">
        <f>ROUND(Source!W164,O188)</f>
        <v>0</v>
      </c>
      <c r="G188" s="4" t="s">
        <v>172</v>
      </c>
      <c r="H188" s="4" t="s">
        <v>173</v>
      </c>
      <c r="I188" s="4"/>
      <c r="J188" s="4"/>
      <c r="K188" s="4">
        <v>209</v>
      </c>
      <c r="L188" s="4">
        <v>23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210</v>
      </c>
      <c r="F189" s="4">
        <f>ROUND(Source!X164,O189)</f>
        <v>5373.28</v>
      </c>
      <c r="G189" s="4" t="s">
        <v>174</v>
      </c>
      <c r="H189" s="4" t="s">
        <v>175</v>
      </c>
      <c r="I189" s="4"/>
      <c r="J189" s="4"/>
      <c r="K189" s="4">
        <v>210</v>
      </c>
      <c r="L189" s="4">
        <v>24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211</v>
      </c>
      <c r="F190" s="4">
        <f>ROUND(Source!Y164,O190)</f>
        <v>3126.27</v>
      </c>
      <c r="G190" s="4" t="s">
        <v>176</v>
      </c>
      <c r="H190" s="4" t="s">
        <v>177</v>
      </c>
      <c r="I190" s="4"/>
      <c r="J190" s="4"/>
      <c r="K190" s="4">
        <v>211</v>
      </c>
      <c r="L190" s="4">
        <v>25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224</v>
      </c>
      <c r="F191" s="4">
        <f>ROUND(Source!AR164,O191)</f>
        <v>18269.150000000001</v>
      </c>
      <c r="G191" s="4" t="s">
        <v>178</v>
      </c>
      <c r="H191" s="4" t="s">
        <v>179</v>
      </c>
      <c r="I191" s="4"/>
      <c r="J191" s="4"/>
      <c r="K191" s="4">
        <v>224</v>
      </c>
      <c r="L191" s="4">
        <v>26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/>
    </row>
    <row r="193" spans="1:245" x14ac:dyDescent="0.2">
      <c r="A193" s="1">
        <v>4</v>
      </c>
      <c r="B193" s="1">
        <v>1</v>
      </c>
      <c r="C193" s="1"/>
      <c r="D193" s="1">
        <f>ROW(A200)</f>
        <v>200</v>
      </c>
      <c r="E193" s="1"/>
      <c r="F193" s="1" t="s">
        <v>16</v>
      </c>
      <c r="G193" s="1" t="s">
        <v>219</v>
      </c>
      <c r="H193" s="1" t="s">
        <v>3</v>
      </c>
      <c r="I193" s="1">
        <v>0</v>
      </c>
      <c r="J193" s="1"/>
      <c r="K193" s="1">
        <v>0</v>
      </c>
      <c r="L193" s="1"/>
      <c r="M193" s="1"/>
      <c r="N193" s="1"/>
      <c r="O193" s="1"/>
      <c r="P193" s="1"/>
      <c r="Q193" s="1"/>
      <c r="R193" s="1"/>
      <c r="S193" s="1"/>
      <c r="T193" s="1"/>
      <c r="U193" s="1" t="s">
        <v>3</v>
      </c>
      <c r="V193" s="1">
        <v>0</v>
      </c>
      <c r="W193" s="1"/>
      <c r="X193" s="1"/>
      <c r="Y193" s="1"/>
      <c r="Z193" s="1"/>
      <c r="AA193" s="1"/>
      <c r="AB193" s="1" t="s">
        <v>3</v>
      </c>
      <c r="AC193" s="1" t="s">
        <v>3</v>
      </c>
      <c r="AD193" s="1" t="s">
        <v>3</v>
      </c>
      <c r="AE193" s="1" t="s">
        <v>3</v>
      </c>
      <c r="AF193" s="1" t="s">
        <v>3</v>
      </c>
      <c r="AG193" s="1" t="s">
        <v>3</v>
      </c>
      <c r="AH193" s="1"/>
      <c r="AI193" s="1"/>
      <c r="AJ193" s="1"/>
      <c r="AK193" s="1"/>
      <c r="AL193" s="1"/>
      <c r="AM193" s="1"/>
      <c r="AN193" s="1"/>
      <c r="AO193" s="1"/>
      <c r="AP193" s="1" t="s">
        <v>3</v>
      </c>
      <c r="AQ193" s="1" t="s">
        <v>3</v>
      </c>
      <c r="AR193" s="1" t="s">
        <v>3</v>
      </c>
      <c r="AS193" s="1"/>
      <c r="AT193" s="1"/>
      <c r="AU193" s="1"/>
      <c r="AV193" s="1"/>
      <c r="AW193" s="1"/>
      <c r="AX193" s="1"/>
      <c r="AY193" s="1"/>
      <c r="AZ193" s="1" t="s">
        <v>3</v>
      </c>
      <c r="BA193" s="1"/>
      <c r="BB193" s="1" t="s">
        <v>3</v>
      </c>
      <c r="BC193" s="1" t="s">
        <v>3</v>
      </c>
      <c r="BD193" s="1" t="s">
        <v>3</v>
      </c>
      <c r="BE193" s="1" t="s">
        <v>3</v>
      </c>
      <c r="BF193" s="1" t="s">
        <v>3</v>
      </c>
      <c r="BG193" s="1" t="s">
        <v>3</v>
      </c>
      <c r="BH193" s="1" t="s">
        <v>3</v>
      </c>
      <c r="BI193" s="1" t="s">
        <v>3</v>
      </c>
      <c r="BJ193" s="1" t="s">
        <v>3</v>
      </c>
      <c r="BK193" s="1" t="s">
        <v>3</v>
      </c>
      <c r="BL193" s="1" t="s">
        <v>3</v>
      </c>
      <c r="BM193" s="1" t="s">
        <v>3</v>
      </c>
      <c r="BN193" s="1" t="s">
        <v>3</v>
      </c>
      <c r="BO193" s="1" t="s">
        <v>3</v>
      </c>
      <c r="BP193" s="1" t="s">
        <v>3</v>
      </c>
      <c r="BQ193" s="1"/>
      <c r="BR193" s="1"/>
      <c r="BS193" s="1"/>
      <c r="BT193" s="1"/>
      <c r="BU193" s="1"/>
      <c r="BV193" s="1"/>
      <c r="BW193" s="1"/>
      <c r="BX193" s="1">
        <v>0</v>
      </c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>
        <v>0</v>
      </c>
    </row>
    <row r="195" spans="1:245" x14ac:dyDescent="0.2">
      <c r="A195" s="2">
        <v>52</v>
      </c>
      <c r="B195" s="2">
        <f t="shared" ref="B195:G195" si="124">B200</f>
        <v>1</v>
      </c>
      <c r="C195" s="2">
        <f t="shared" si="124"/>
        <v>4</v>
      </c>
      <c r="D195" s="2">
        <f t="shared" si="124"/>
        <v>193</v>
      </c>
      <c r="E195" s="2">
        <f t="shared" si="124"/>
        <v>0</v>
      </c>
      <c r="F195" s="2" t="str">
        <f t="shared" si="124"/>
        <v>Новый раздел</v>
      </c>
      <c r="G195" s="2" t="str">
        <f t="shared" si="124"/>
        <v>РУ 0,4 кВ №2</v>
      </c>
      <c r="H195" s="2"/>
      <c r="I195" s="2"/>
      <c r="J195" s="2"/>
      <c r="K195" s="2"/>
      <c r="L195" s="2"/>
      <c r="M195" s="2"/>
      <c r="N195" s="2"/>
      <c r="O195" s="2">
        <f t="shared" ref="O195:AT195" si="125">O200</f>
        <v>910.44</v>
      </c>
      <c r="P195" s="2">
        <f t="shared" si="125"/>
        <v>0</v>
      </c>
      <c r="Q195" s="2">
        <f t="shared" si="125"/>
        <v>0</v>
      </c>
      <c r="R195" s="2">
        <f t="shared" si="125"/>
        <v>0</v>
      </c>
      <c r="S195" s="2">
        <f t="shared" si="125"/>
        <v>910.44</v>
      </c>
      <c r="T195" s="2">
        <f t="shared" si="125"/>
        <v>0</v>
      </c>
      <c r="U195" s="2">
        <f t="shared" si="125"/>
        <v>2.8759999999999999</v>
      </c>
      <c r="V195" s="2">
        <f t="shared" si="125"/>
        <v>0</v>
      </c>
      <c r="W195" s="2">
        <f t="shared" si="125"/>
        <v>0</v>
      </c>
      <c r="X195" s="2">
        <f t="shared" si="125"/>
        <v>500.74</v>
      </c>
      <c r="Y195" s="2">
        <f t="shared" si="125"/>
        <v>291.33999999999997</v>
      </c>
      <c r="Z195" s="2">
        <f t="shared" si="125"/>
        <v>0</v>
      </c>
      <c r="AA195" s="2">
        <f t="shared" si="125"/>
        <v>0</v>
      </c>
      <c r="AB195" s="2">
        <f t="shared" si="125"/>
        <v>910.44</v>
      </c>
      <c r="AC195" s="2">
        <f t="shared" si="125"/>
        <v>0</v>
      </c>
      <c r="AD195" s="2">
        <f t="shared" si="125"/>
        <v>0</v>
      </c>
      <c r="AE195" s="2">
        <f t="shared" si="125"/>
        <v>0</v>
      </c>
      <c r="AF195" s="2">
        <f t="shared" si="125"/>
        <v>910.44</v>
      </c>
      <c r="AG195" s="2">
        <f t="shared" si="125"/>
        <v>0</v>
      </c>
      <c r="AH195" s="2">
        <f t="shared" si="125"/>
        <v>2.8759999999999999</v>
      </c>
      <c r="AI195" s="2">
        <f t="shared" si="125"/>
        <v>0</v>
      </c>
      <c r="AJ195" s="2">
        <f t="shared" si="125"/>
        <v>0</v>
      </c>
      <c r="AK195" s="2">
        <f t="shared" si="125"/>
        <v>500.74</v>
      </c>
      <c r="AL195" s="2">
        <f t="shared" si="125"/>
        <v>291.33999999999997</v>
      </c>
      <c r="AM195" s="2">
        <f t="shared" si="125"/>
        <v>0</v>
      </c>
      <c r="AN195" s="2">
        <f t="shared" si="125"/>
        <v>0</v>
      </c>
      <c r="AO195" s="2">
        <f t="shared" si="125"/>
        <v>0</v>
      </c>
      <c r="AP195" s="2">
        <f t="shared" si="125"/>
        <v>0</v>
      </c>
      <c r="AQ195" s="2">
        <f t="shared" si="125"/>
        <v>0</v>
      </c>
      <c r="AR195" s="2">
        <f t="shared" si="125"/>
        <v>1702.52</v>
      </c>
      <c r="AS195" s="2">
        <f t="shared" si="125"/>
        <v>0</v>
      </c>
      <c r="AT195" s="2">
        <f t="shared" si="125"/>
        <v>0</v>
      </c>
      <c r="AU195" s="2">
        <f t="shared" ref="AU195:BZ195" si="126">AU200</f>
        <v>1702.52</v>
      </c>
      <c r="AV195" s="2">
        <f t="shared" si="126"/>
        <v>0</v>
      </c>
      <c r="AW195" s="2">
        <f t="shared" si="126"/>
        <v>0</v>
      </c>
      <c r="AX195" s="2">
        <f t="shared" si="126"/>
        <v>0</v>
      </c>
      <c r="AY195" s="2">
        <f t="shared" si="126"/>
        <v>0</v>
      </c>
      <c r="AZ195" s="2">
        <f t="shared" si="126"/>
        <v>0</v>
      </c>
      <c r="BA195" s="2">
        <f t="shared" si="126"/>
        <v>0</v>
      </c>
      <c r="BB195" s="2">
        <f t="shared" si="126"/>
        <v>0</v>
      </c>
      <c r="BC195" s="2">
        <f t="shared" si="126"/>
        <v>0</v>
      </c>
      <c r="BD195" s="2">
        <f t="shared" si="126"/>
        <v>0</v>
      </c>
      <c r="BE195" s="2">
        <f t="shared" si="126"/>
        <v>0</v>
      </c>
      <c r="BF195" s="2">
        <f t="shared" si="126"/>
        <v>0</v>
      </c>
      <c r="BG195" s="2">
        <f t="shared" si="126"/>
        <v>0</v>
      </c>
      <c r="BH195" s="2">
        <f t="shared" si="126"/>
        <v>0</v>
      </c>
      <c r="BI195" s="2">
        <f t="shared" si="126"/>
        <v>0</v>
      </c>
      <c r="BJ195" s="2">
        <f t="shared" si="126"/>
        <v>0</v>
      </c>
      <c r="BK195" s="2">
        <f t="shared" si="126"/>
        <v>0</v>
      </c>
      <c r="BL195" s="2">
        <f t="shared" si="126"/>
        <v>0</v>
      </c>
      <c r="BM195" s="2">
        <f t="shared" si="126"/>
        <v>0</v>
      </c>
      <c r="BN195" s="2">
        <f t="shared" si="126"/>
        <v>0</v>
      </c>
      <c r="BO195" s="2">
        <f t="shared" si="126"/>
        <v>0</v>
      </c>
      <c r="BP195" s="2">
        <f t="shared" si="126"/>
        <v>0</v>
      </c>
      <c r="BQ195" s="2">
        <f t="shared" si="126"/>
        <v>0</v>
      </c>
      <c r="BR195" s="2">
        <f t="shared" si="126"/>
        <v>0</v>
      </c>
      <c r="BS195" s="2">
        <f t="shared" si="126"/>
        <v>0</v>
      </c>
      <c r="BT195" s="2">
        <f t="shared" si="126"/>
        <v>0</v>
      </c>
      <c r="BU195" s="2">
        <f t="shared" si="126"/>
        <v>0</v>
      </c>
      <c r="BV195" s="2">
        <f t="shared" si="126"/>
        <v>0</v>
      </c>
      <c r="BW195" s="2">
        <f t="shared" si="126"/>
        <v>0</v>
      </c>
      <c r="BX195" s="2">
        <f t="shared" si="126"/>
        <v>0</v>
      </c>
      <c r="BY195" s="2">
        <f t="shared" si="126"/>
        <v>0</v>
      </c>
      <c r="BZ195" s="2">
        <f t="shared" si="126"/>
        <v>0</v>
      </c>
      <c r="CA195" s="2">
        <f t="shared" ref="CA195:DF195" si="127">CA200</f>
        <v>1702.52</v>
      </c>
      <c r="CB195" s="2">
        <f t="shared" si="127"/>
        <v>0</v>
      </c>
      <c r="CC195" s="2">
        <f t="shared" si="127"/>
        <v>0</v>
      </c>
      <c r="CD195" s="2">
        <f t="shared" si="127"/>
        <v>1702.52</v>
      </c>
      <c r="CE195" s="2">
        <f t="shared" si="127"/>
        <v>0</v>
      </c>
      <c r="CF195" s="2">
        <f t="shared" si="127"/>
        <v>0</v>
      </c>
      <c r="CG195" s="2">
        <f t="shared" si="127"/>
        <v>0</v>
      </c>
      <c r="CH195" s="2">
        <f t="shared" si="127"/>
        <v>0</v>
      </c>
      <c r="CI195" s="2">
        <f t="shared" si="127"/>
        <v>0</v>
      </c>
      <c r="CJ195" s="2">
        <f t="shared" si="127"/>
        <v>0</v>
      </c>
      <c r="CK195" s="2">
        <f t="shared" si="127"/>
        <v>0</v>
      </c>
      <c r="CL195" s="2">
        <f t="shared" si="127"/>
        <v>0</v>
      </c>
      <c r="CM195" s="2">
        <f t="shared" si="127"/>
        <v>0</v>
      </c>
      <c r="CN195" s="2">
        <f t="shared" si="127"/>
        <v>0</v>
      </c>
      <c r="CO195" s="2">
        <f t="shared" si="127"/>
        <v>0</v>
      </c>
      <c r="CP195" s="2">
        <f t="shared" si="127"/>
        <v>0</v>
      </c>
      <c r="CQ195" s="2">
        <f t="shared" si="127"/>
        <v>0</v>
      </c>
      <c r="CR195" s="2">
        <f t="shared" si="127"/>
        <v>0</v>
      </c>
      <c r="CS195" s="2">
        <f t="shared" si="127"/>
        <v>0</v>
      </c>
      <c r="CT195" s="2">
        <f t="shared" si="127"/>
        <v>0</v>
      </c>
      <c r="CU195" s="2">
        <f t="shared" si="127"/>
        <v>0</v>
      </c>
      <c r="CV195" s="2">
        <f t="shared" si="127"/>
        <v>0</v>
      </c>
      <c r="CW195" s="2">
        <f t="shared" si="127"/>
        <v>0</v>
      </c>
      <c r="CX195" s="2">
        <f t="shared" si="127"/>
        <v>0</v>
      </c>
      <c r="CY195" s="2">
        <f t="shared" si="127"/>
        <v>0</v>
      </c>
      <c r="CZ195" s="2">
        <f t="shared" si="127"/>
        <v>0</v>
      </c>
      <c r="DA195" s="2">
        <f t="shared" si="127"/>
        <v>0</v>
      </c>
      <c r="DB195" s="2">
        <f t="shared" si="127"/>
        <v>0</v>
      </c>
      <c r="DC195" s="2">
        <f t="shared" si="127"/>
        <v>0</v>
      </c>
      <c r="DD195" s="2">
        <f t="shared" si="127"/>
        <v>0</v>
      </c>
      <c r="DE195" s="2">
        <f t="shared" si="127"/>
        <v>0</v>
      </c>
      <c r="DF195" s="2">
        <f t="shared" si="127"/>
        <v>0</v>
      </c>
      <c r="DG195" s="3">
        <f t="shared" ref="DG195:EL195" si="128">DG200</f>
        <v>0</v>
      </c>
      <c r="DH195" s="3">
        <f t="shared" si="128"/>
        <v>0</v>
      </c>
      <c r="DI195" s="3">
        <f t="shared" si="128"/>
        <v>0</v>
      </c>
      <c r="DJ195" s="3">
        <f t="shared" si="128"/>
        <v>0</v>
      </c>
      <c r="DK195" s="3">
        <f t="shared" si="128"/>
        <v>0</v>
      </c>
      <c r="DL195" s="3">
        <f t="shared" si="128"/>
        <v>0</v>
      </c>
      <c r="DM195" s="3">
        <f t="shared" si="128"/>
        <v>0</v>
      </c>
      <c r="DN195" s="3">
        <f t="shared" si="128"/>
        <v>0</v>
      </c>
      <c r="DO195" s="3">
        <f t="shared" si="128"/>
        <v>0</v>
      </c>
      <c r="DP195" s="3">
        <f t="shared" si="128"/>
        <v>0</v>
      </c>
      <c r="DQ195" s="3">
        <f t="shared" si="128"/>
        <v>0</v>
      </c>
      <c r="DR195" s="3">
        <f t="shared" si="128"/>
        <v>0</v>
      </c>
      <c r="DS195" s="3">
        <f t="shared" si="128"/>
        <v>0</v>
      </c>
      <c r="DT195" s="3">
        <f t="shared" si="128"/>
        <v>0</v>
      </c>
      <c r="DU195" s="3">
        <f t="shared" si="128"/>
        <v>0</v>
      </c>
      <c r="DV195" s="3">
        <f t="shared" si="128"/>
        <v>0</v>
      </c>
      <c r="DW195" s="3">
        <f t="shared" si="128"/>
        <v>0</v>
      </c>
      <c r="DX195" s="3">
        <f t="shared" si="128"/>
        <v>0</v>
      </c>
      <c r="DY195" s="3">
        <f t="shared" si="128"/>
        <v>0</v>
      </c>
      <c r="DZ195" s="3">
        <f t="shared" si="128"/>
        <v>0</v>
      </c>
      <c r="EA195" s="3">
        <f t="shared" si="128"/>
        <v>0</v>
      </c>
      <c r="EB195" s="3">
        <f t="shared" si="128"/>
        <v>0</v>
      </c>
      <c r="EC195" s="3">
        <f t="shared" si="128"/>
        <v>0</v>
      </c>
      <c r="ED195" s="3">
        <f t="shared" si="128"/>
        <v>0</v>
      </c>
      <c r="EE195" s="3">
        <f t="shared" si="128"/>
        <v>0</v>
      </c>
      <c r="EF195" s="3">
        <f t="shared" si="128"/>
        <v>0</v>
      </c>
      <c r="EG195" s="3">
        <f t="shared" si="128"/>
        <v>0</v>
      </c>
      <c r="EH195" s="3">
        <f t="shared" si="128"/>
        <v>0</v>
      </c>
      <c r="EI195" s="3">
        <f t="shared" si="128"/>
        <v>0</v>
      </c>
      <c r="EJ195" s="3">
        <f t="shared" si="128"/>
        <v>0</v>
      </c>
      <c r="EK195" s="3">
        <f t="shared" si="128"/>
        <v>0</v>
      </c>
      <c r="EL195" s="3">
        <f t="shared" si="128"/>
        <v>0</v>
      </c>
      <c r="EM195" s="3">
        <f t="shared" ref="EM195:FR195" si="129">EM200</f>
        <v>0</v>
      </c>
      <c r="EN195" s="3">
        <f t="shared" si="129"/>
        <v>0</v>
      </c>
      <c r="EO195" s="3">
        <f t="shared" si="129"/>
        <v>0</v>
      </c>
      <c r="EP195" s="3">
        <f t="shared" si="129"/>
        <v>0</v>
      </c>
      <c r="EQ195" s="3">
        <f t="shared" si="129"/>
        <v>0</v>
      </c>
      <c r="ER195" s="3">
        <f t="shared" si="129"/>
        <v>0</v>
      </c>
      <c r="ES195" s="3">
        <f t="shared" si="129"/>
        <v>0</v>
      </c>
      <c r="ET195" s="3">
        <f t="shared" si="129"/>
        <v>0</v>
      </c>
      <c r="EU195" s="3">
        <f t="shared" si="129"/>
        <v>0</v>
      </c>
      <c r="EV195" s="3">
        <f t="shared" si="129"/>
        <v>0</v>
      </c>
      <c r="EW195" s="3">
        <f t="shared" si="129"/>
        <v>0</v>
      </c>
      <c r="EX195" s="3">
        <f t="shared" si="129"/>
        <v>0</v>
      </c>
      <c r="EY195" s="3">
        <f t="shared" si="129"/>
        <v>0</v>
      </c>
      <c r="EZ195" s="3">
        <f t="shared" si="129"/>
        <v>0</v>
      </c>
      <c r="FA195" s="3">
        <f t="shared" si="129"/>
        <v>0</v>
      </c>
      <c r="FB195" s="3">
        <f t="shared" si="129"/>
        <v>0</v>
      </c>
      <c r="FC195" s="3">
        <f t="shared" si="129"/>
        <v>0</v>
      </c>
      <c r="FD195" s="3">
        <f t="shared" si="129"/>
        <v>0</v>
      </c>
      <c r="FE195" s="3">
        <f t="shared" si="129"/>
        <v>0</v>
      </c>
      <c r="FF195" s="3">
        <f t="shared" si="129"/>
        <v>0</v>
      </c>
      <c r="FG195" s="3">
        <f t="shared" si="129"/>
        <v>0</v>
      </c>
      <c r="FH195" s="3">
        <f t="shared" si="129"/>
        <v>0</v>
      </c>
      <c r="FI195" s="3">
        <f t="shared" si="129"/>
        <v>0</v>
      </c>
      <c r="FJ195" s="3">
        <f t="shared" si="129"/>
        <v>0</v>
      </c>
      <c r="FK195" s="3">
        <f t="shared" si="129"/>
        <v>0</v>
      </c>
      <c r="FL195" s="3">
        <f t="shared" si="129"/>
        <v>0</v>
      </c>
      <c r="FM195" s="3">
        <f t="shared" si="129"/>
        <v>0</v>
      </c>
      <c r="FN195" s="3">
        <f t="shared" si="129"/>
        <v>0</v>
      </c>
      <c r="FO195" s="3">
        <f t="shared" si="129"/>
        <v>0</v>
      </c>
      <c r="FP195" s="3">
        <f t="shared" si="129"/>
        <v>0</v>
      </c>
      <c r="FQ195" s="3">
        <f t="shared" si="129"/>
        <v>0</v>
      </c>
      <c r="FR195" s="3">
        <f t="shared" si="129"/>
        <v>0</v>
      </c>
      <c r="FS195" s="3">
        <f t="shared" ref="FS195:GX195" si="130">FS200</f>
        <v>0</v>
      </c>
      <c r="FT195" s="3">
        <f t="shared" si="130"/>
        <v>0</v>
      </c>
      <c r="FU195" s="3">
        <f t="shared" si="130"/>
        <v>0</v>
      </c>
      <c r="FV195" s="3">
        <f t="shared" si="130"/>
        <v>0</v>
      </c>
      <c r="FW195" s="3">
        <f t="shared" si="130"/>
        <v>0</v>
      </c>
      <c r="FX195" s="3">
        <f t="shared" si="130"/>
        <v>0</v>
      </c>
      <c r="FY195" s="3">
        <f t="shared" si="130"/>
        <v>0</v>
      </c>
      <c r="FZ195" s="3">
        <f t="shared" si="130"/>
        <v>0</v>
      </c>
      <c r="GA195" s="3">
        <f t="shared" si="130"/>
        <v>0</v>
      </c>
      <c r="GB195" s="3">
        <f t="shared" si="130"/>
        <v>0</v>
      </c>
      <c r="GC195" s="3">
        <f t="shared" si="130"/>
        <v>0</v>
      </c>
      <c r="GD195" s="3">
        <f t="shared" si="130"/>
        <v>0</v>
      </c>
      <c r="GE195" s="3">
        <f t="shared" si="130"/>
        <v>0</v>
      </c>
      <c r="GF195" s="3">
        <f t="shared" si="130"/>
        <v>0</v>
      </c>
      <c r="GG195" s="3">
        <f t="shared" si="130"/>
        <v>0</v>
      </c>
      <c r="GH195" s="3">
        <f t="shared" si="130"/>
        <v>0</v>
      </c>
      <c r="GI195" s="3">
        <f t="shared" si="130"/>
        <v>0</v>
      </c>
      <c r="GJ195" s="3">
        <f t="shared" si="130"/>
        <v>0</v>
      </c>
      <c r="GK195" s="3">
        <f t="shared" si="130"/>
        <v>0</v>
      </c>
      <c r="GL195" s="3">
        <f t="shared" si="130"/>
        <v>0</v>
      </c>
      <c r="GM195" s="3">
        <f t="shared" si="130"/>
        <v>0</v>
      </c>
      <c r="GN195" s="3">
        <f t="shared" si="130"/>
        <v>0</v>
      </c>
      <c r="GO195" s="3">
        <f t="shared" si="130"/>
        <v>0</v>
      </c>
      <c r="GP195" s="3">
        <f t="shared" si="130"/>
        <v>0</v>
      </c>
      <c r="GQ195" s="3">
        <f t="shared" si="130"/>
        <v>0</v>
      </c>
      <c r="GR195" s="3">
        <f t="shared" si="130"/>
        <v>0</v>
      </c>
      <c r="GS195" s="3">
        <f t="shared" si="130"/>
        <v>0</v>
      </c>
      <c r="GT195" s="3">
        <f t="shared" si="130"/>
        <v>0</v>
      </c>
      <c r="GU195" s="3">
        <f t="shared" si="130"/>
        <v>0</v>
      </c>
      <c r="GV195" s="3">
        <f t="shared" si="130"/>
        <v>0</v>
      </c>
      <c r="GW195" s="3">
        <f t="shared" si="130"/>
        <v>0</v>
      </c>
      <c r="GX195" s="3">
        <f t="shared" si="130"/>
        <v>0</v>
      </c>
    </row>
    <row r="197" spans="1:245" x14ac:dyDescent="0.2">
      <c r="A197">
        <v>17</v>
      </c>
      <c r="B197">
        <v>1</v>
      </c>
      <c r="C197">
        <f>ROW(SmtRes!A103)</f>
        <v>103</v>
      </c>
      <c r="D197">
        <f>ROW(EtalonRes!A90)</f>
        <v>90</v>
      </c>
      <c r="E197" t="s">
        <v>65</v>
      </c>
      <c r="F197" t="s">
        <v>202</v>
      </c>
      <c r="G197" t="s">
        <v>203</v>
      </c>
      <c r="H197" t="s">
        <v>83</v>
      </c>
      <c r="I197">
        <v>1</v>
      </c>
      <c r="J197">
        <v>0</v>
      </c>
      <c r="O197">
        <f>ROUND(CP197,2)</f>
        <v>131.76</v>
      </c>
      <c r="P197">
        <f>ROUND(CQ197*I197,2)</f>
        <v>0</v>
      </c>
      <c r="Q197">
        <f>ROUND(CR197*I197,2)</f>
        <v>0</v>
      </c>
      <c r="R197">
        <f>ROUND(CS197*I197,2)</f>
        <v>0</v>
      </c>
      <c r="S197">
        <f>ROUND(CT197*I197,2)</f>
        <v>131.76</v>
      </c>
      <c r="T197">
        <f>ROUND(CU197*I197,2)</f>
        <v>0</v>
      </c>
      <c r="U197">
        <f>CV197*I197</f>
        <v>0.41600000000000004</v>
      </c>
      <c r="V197">
        <f>CW197*I197</f>
        <v>0</v>
      </c>
      <c r="W197">
        <f>ROUND(CX197*I197,2)</f>
        <v>0</v>
      </c>
      <c r="X197">
        <f>ROUND(CY197,2)</f>
        <v>72.47</v>
      </c>
      <c r="Y197">
        <f>ROUND(CZ197,2)</f>
        <v>42.16</v>
      </c>
      <c r="AA197">
        <v>35007309</v>
      </c>
      <c r="AB197">
        <f>ROUND((AC197+AD197+AF197),2)</f>
        <v>5.33</v>
      </c>
      <c r="AC197">
        <f>ROUND((ES197),2)</f>
        <v>0</v>
      </c>
      <c r="AD197">
        <f>ROUND((((ET197)-(EU197))+AE197),2)</f>
        <v>0</v>
      </c>
      <c r="AE197">
        <f>ROUND((EU197),2)</f>
        <v>0</v>
      </c>
      <c r="AF197">
        <f>ROUND(((EV197*1.3)),2)</f>
        <v>5.33</v>
      </c>
      <c r="AG197">
        <f>ROUND((AP197),2)</f>
        <v>0</v>
      </c>
      <c r="AH197">
        <f>((EW197*1.3))</f>
        <v>0.41600000000000004</v>
      </c>
      <c r="AI197">
        <f>(EX197)</f>
        <v>0</v>
      </c>
      <c r="AJ197">
        <f>ROUND((AS197),2)</f>
        <v>0</v>
      </c>
      <c r="AK197">
        <v>4.0999999999999996</v>
      </c>
      <c r="AL197">
        <v>0</v>
      </c>
      <c r="AM197">
        <v>0</v>
      </c>
      <c r="AN197">
        <v>0</v>
      </c>
      <c r="AO197">
        <v>4.0999999999999996</v>
      </c>
      <c r="AP197">
        <v>0</v>
      </c>
      <c r="AQ197">
        <v>0.32</v>
      </c>
      <c r="AR197">
        <v>0</v>
      </c>
      <c r="AS197">
        <v>0</v>
      </c>
      <c r="AT197">
        <v>55</v>
      </c>
      <c r="AU197">
        <v>32</v>
      </c>
      <c r="AV197">
        <v>1</v>
      </c>
      <c r="AW197">
        <v>1</v>
      </c>
      <c r="AZ197">
        <v>1</v>
      </c>
      <c r="BA197">
        <v>24.72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0</v>
      </c>
      <c r="BI197">
        <v>4</v>
      </c>
      <c r="BJ197" t="s">
        <v>204</v>
      </c>
      <c r="BM197">
        <v>200001</v>
      </c>
      <c r="BN197">
        <v>31265683</v>
      </c>
      <c r="BO197" t="s">
        <v>3</v>
      </c>
      <c r="BP197">
        <v>0</v>
      </c>
      <c r="BQ197">
        <v>4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65</v>
      </c>
      <c r="CA197">
        <v>40</v>
      </c>
      <c r="CF197">
        <v>0</v>
      </c>
      <c r="CG197">
        <v>0</v>
      </c>
      <c r="CM197">
        <v>0</v>
      </c>
      <c r="CN197" t="s">
        <v>220</v>
      </c>
      <c r="CO197">
        <v>0</v>
      </c>
      <c r="CP197">
        <f>(P197+Q197+S197)</f>
        <v>131.76</v>
      </c>
      <c r="CQ197">
        <f>AC197*BC197</f>
        <v>0</v>
      </c>
      <c r="CR197">
        <f>AD197*BB197</f>
        <v>0</v>
      </c>
      <c r="CS197">
        <f>AE197*BS197</f>
        <v>0</v>
      </c>
      <c r="CT197">
        <f>AF197*BA197</f>
        <v>131.7576</v>
      </c>
      <c r="CU197">
        <f t="shared" ref="CU197:CX198" si="131">AG197</f>
        <v>0</v>
      </c>
      <c r="CV197">
        <f t="shared" si="131"/>
        <v>0.41600000000000004</v>
      </c>
      <c r="CW197">
        <f t="shared" si="131"/>
        <v>0</v>
      </c>
      <c r="CX197">
        <f t="shared" si="131"/>
        <v>0</v>
      </c>
      <c r="CY197">
        <f>(((S197+R197)*AT197)/100)</f>
        <v>72.467999999999989</v>
      </c>
      <c r="CZ197">
        <f>(((S197+R197)*AU197)/100)</f>
        <v>42.163199999999996</v>
      </c>
      <c r="DC197" t="s">
        <v>3</v>
      </c>
      <c r="DD197" t="s">
        <v>3</v>
      </c>
      <c r="DE197" t="s">
        <v>3</v>
      </c>
      <c r="DF197" t="s">
        <v>3</v>
      </c>
      <c r="DG197" t="s">
        <v>221</v>
      </c>
      <c r="DH197" t="s">
        <v>3</v>
      </c>
      <c r="DI197" t="s">
        <v>221</v>
      </c>
      <c r="DJ197" t="s">
        <v>3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1013</v>
      </c>
      <c r="DV197" t="s">
        <v>83</v>
      </c>
      <c r="DW197" t="s">
        <v>83</v>
      </c>
      <c r="DX197">
        <v>1</v>
      </c>
      <c r="EE197">
        <v>31266019</v>
      </c>
      <c r="EF197">
        <v>4</v>
      </c>
      <c r="EG197" t="s">
        <v>201</v>
      </c>
      <c r="EH197">
        <v>0</v>
      </c>
      <c r="EI197" t="s">
        <v>3</v>
      </c>
      <c r="EJ197">
        <v>4</v>
      </c>
      <c r="EK197">
        <v>200001</v>
      </c>
      <c r="EL197" t="s">
        <v>206</v>
      </c>
      <c r="EM197" t="s">
        <v>207</v>
      </c>
      <c r="EO197" t="s">
        <v>222</v>
      </c>
      <c r="EQ197">
        <v>512</v>
      </c>
      <c r="ER197">
        <v>4.0999999999999996</v>
      </c>
      <c r="ES197">
        <v>0</v>
      </c>
      <c r="ET197">
        <v>0</v>
      </c>
      <c r="EU197">
        <v>0</v>
      </c>
      <c r="EV197">
        <v>4.0999999999999996</v>
      </c>
      <c r="EW197">
        <v>0.32</v>
      </c>
      <c r="EX197">
        <v>0</v>
      </c>
      <c r="EY197">
        <v>0</v>
      </c>
      <c r="FQ197">
        <v>0</v>
      </c>
      <c r="FR197">
        <f>ROUND(IF(AND(BH197=3,BI197=3),P197,0),2)</f>
        <v>0</v>
      </c>
      <c r="FS197">
        <v>0</v>
      </c>
      <c r="FV197" t="s">
        <v>26</v>
      </c>
      <c r="FW197" t="s">
        <v>27</v>
      </c>
      <c r="FX197">
        <v>65</v>
      </c>
      <c r="FY197">
        <v>40</v>
      </c>
      <c r="GA197" t="s">
        <v>3</v>
      </c>
      <c r="GD197">
        <v>0</v>
      </c>
      <c r="GF197">
        <v>-1617765494</v>
      </c>
      <c r="GG197">
        <v>2</v>
      </c>
      <c r="GH197">
        <v>1</v>
      </c>
      <c r="GI197">
        <v>2</v>
      </c>
      <c r="GJ197">
        <v>0</v>
      </c>
      <c r="GK197">
        <f>ROUND(R197*(R12)/100,2)</f>
        <v>0</v>
      </c>
      <c r="GL197">
        <f>ROUND(IF(AND(BH197=3,BI197=3,FS197&lt;&gt;0),P197,0),2)</f>
        <v>0</v>
      </c>
      <c r="GM197">
        <f>ROUND(O197+X197+Y197+GK197,2)+GX197</f>
        <v>246.39</v>
      </c>
      <c r="GN197">
        <f>IF(OR(BI197=0,BI197=1),ROUND(O197+X197+Y197+GK197,2),0)</f>
        <v>0</v>
      </c>
      <c r="GO197">
        <f>IF(BI197=2,ROUND(O197+X197+Y197+GK197,2),0)</f>
        <v>0</v>
      </c>
      <c r="GP197">
        <f>IF(BI197=4,ROUND(O197+X197+Y197+GK197,2)+GX197,0)</f>
        <v>246.39</v>
      </c>
      <c r="GR197">
        <v>0</v>
      </c>
      <c r="GS197">
        <v>3</v>
      </c>
      <c r="GT197">
        <v>0</v>
      </c>
      <c r="GU197" t="s">
        <v>3</v>
      </c>
      <c r="GV197">
        <f>ROUND(GT197,2)</f>
        <v>0</v>
      </c>
      <c r="GW197">
        <v>1</v>
      </c>
      <c r="GX197">
        <f>ROUND(GV197*GW197*I197,2)</f>
        <v>0</v>
      </c>
      <c r="HA197">
        <v>0</v>
      </c>
      <c r="HB197">
        <v>0</v>
      </c>
      <c r="IK197">
        <v>0</v>
      </c>
    </row>
    <row r="198" spans="1:245" x14ac:dyDescent="0.2">
      <c r="A198">
        <v>17</v>
      </c>
      <c r="B198">
        <v>1</v>
      </c>
      <c r="C198">
        <f>ROW(SmtRes!A105)</f>
        <v>105</v>
      </c>
      <c r="D198">
        <f>ROW(EtalonRes!A92)</f>
        <v>92</v>
      </c>
      <c r="E198" t="s">
        <v>70</v>
      </c>
      <c r="F198" t="s">
        <v>209</v>
      </c>
      <c r="G198" t="s">
        <v>210</v>
      </c>
      <c r="H198" t="s">
        <v>83</v>
      </c>
      <c r="I198">
        <v>3</v>
      </c>
      <c r="J198">
        <v>0</v>
      </c>
      <c r="O198">
        <f>ROUND(CP198,2)</f>
        <v>778.68</v>
      </c>
      <c r="P198">
        <f>ROUND(CQ198*I198,2)</f>
        <v>0</v>
      </c>
      <c r="Q198">
        <f>ROUND(CR198*I198,2)</f>
        <v>0</v>
      </c>
      <c r="R198">
        <f>ROUND(CS198*I198,2)</f>
        <v>0</v>
      </c>
      <c r="S198">
        <f>ROUND(CT198*I198,2)</f>
        <v>778.68</v>
      </c>
      <c r="T198">
        <f>ROUND(CU198*I198,2)</f>
        <v>0</v>
      </c>
      <c r="U198">
        <f>CV198*I198</f>
        <v>2.46</v>
      </c>
      <c r="V198">
        <f>CW198*I198</f>
        <v>0</v>
      </c>
      <c r="W198">
        <f>ROUND(CX198*I198,2)</f>
        <v>0</v>
      </c>
      <c r="X198">
        <f>ROUND(CY198,2)</f>
        <v>428.27</v>
      </c>
      <c r="Y198">
        <f>ROUND(CZ198,2)</f>
        <v>249.18</v>
      </c>
      <c r="AA198">
        <v>35007309</v>
      </c>
      <c r="AB198">
        <f>ROUND((AC198+AD198+AF198),2)</f>
        <v>10.5</v>
      </c>
      <c r="AC198">
        <f>ROUND((ES198),2)</f>
        <v>0</v>
      </c>
      <c r="AD198">
        <f>ROUND((((ET198)-(EU198))+AE198),2)</f>
        <v>0</v>
      </c>
      <c r="AE198">
        <f>ROUND((EU198),2)</f>
        <v>0</v>
      </c>
      <c r="AF198">
        <f>ROUND((EV198),2)</f>
        <v>10.5</v>
      </c>
      <c r="AG198">
        <f>ROUND((AP198),2)</f>
        <v>0</v>
      </c>
      <c r="AH198">
        <f>(EW198)</f>
        <v>0.82</v>
      </c>
      <c r="AI198">
        <f>(EX198)</f>
        <v>0</v>
      </c>
      <c r="AJ198">
        <f>ROUND((AS198),2)</f>
        <v>0</v>
      </c>
      <c r="AK198">
        <v>10.5</v>
      </c>
      <c r="AL198">
        <v>0</v>
      </c>
      <c r="AM198">
        <v>0</v>
      </c>
      <c r="AN198">
        <v>0</v>
      </c>
      <c r="AO198">
        <v>10.5</v>
      </c>
      <c r="AP198">
        <v>0</v>
      </c>
      <c r="AQ198">
        <v>0.82</v>
      </c>
      <c r="AR198">
        <v>0</v>
      </c>
      <c r="AS198">
        <v>0</v>
      </c>
      <c r="AT198">
        <v>55</v>
      </c>
      <c r="AU198">
        <v>32</v>
      </c>
      <c r="AV198">
        <v>1</v>
      </c>
      <c r="AW198">
        <v>1</v>
      </c>
      <c r="AZ198">
        <v>1</v>
      </c>
      <c r="BA198">
        <v>24.72</v>
      </c>
      <c r="BB198">
        <v>1</v>
      </c>
      <c r="BC198">
        <v>1</v>
      </c>
      <c r="BD198" t="s">
        <v>3</v>
      </c>
      <c r="BE198" t="s">
        <v>3</v>
      </c>
      <c r="BF198" t="s">
        <v>3</v>
      </c>
      <c r="BG198" t="s">
        <v>3</v>
      </c>
      <c r="BH198">
        <v>0</v>
      </c>
      <c r="BI198">
        <v>4</v>
      </c>
      <c r="BJ198" t="s">
        <v>211</v>
      </c>
      <c r="BM198">
        <v>200001</v>
      </c>
      <c r="BN198">
        <v>31265683</v>
      </c>
      <c r="BO198" t="s">
        <v>3</v>
      </c>
      <c r="BP198">
        <v>0</v>
      </c>
      <c r="BQ198">
        <v>4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3</v>
      </c>
      <c r="BZ198">
        <v>65</v>
      </c>
      <c r="CA198">
        <v>40</v>
      </c>
      <c r="CF198">
        <v>0</v>
      </c>
      <c r="CG198">
        <v>0</v>
      </c>
      <c r="CM198">
        <v>0</v>
      </c>
      <c r="CN198" t="s">
        <v>3</v>
      </c>
      <c r="CO198">
        <v>0</v>
      </c>
      <c r="CP198">
        <f>(P198+Q198+S198)</f>
        <v>778.68</v>
      </c>
      <c r="CQ198">
        <f>AC198*BC198</f>
        <v>0</v>
      </c>
      <c r="CR198">
        <f>AD198*BB198</f>
        <v>0</v>
      </c>
      <c r="CS198">
        <f>AE198*BS198</f>
        <v>0</v>
      </c>
      <c r="CT198">
        <f>AF198*BA198</f>
        <v>259.56</v>
      </c>
      <c r="CU198">
        <f t="shared" si="131"/>
        <v>0</v>
      </c>
      <c r="CV198">
        <f t="shared" si="131"/>
        <v>0.82</v>
      </c>
      <c r="CW198">
        <f t="shared" si="131"/>
        <v>0</v>
      </c>
      <c r="CX198">
        <f t="shared" si="131"/>
        <v>0</v>
      </c>
      <c r="CY198">
        <f>(((S198+R198)*AT198)/100)</f>
        <v>428.27399999999994</v>
      </c>
      <c r="CZ198">
        <f>(((S198+R198)*AU198)/100)</f>
        <v>249.17759999999998</v>
      </c>
      <c r="DC198" t="s">
        <v>3</v>
      </c>
      <c r="DD198" t="s">
        <v>3</v>
      </c>
      <c r="DE198" t="s">
        <v>3</v>
      </c>
      <c r="DF198" t="s">
        <v>3</v>
      </c>
      <c r="DG198" t="s">
        <v>3</v>
      </c>
      <c r="DH198" t="s">
        <v>3</v>
      </c>
      <c r="DI198" t="s">
        <v>3</v>
      </c>
      <c r="DJ198" t="s">
        <v>3</v>
      </c>
      <c r="DK198" t="s">
        <v>3</v>
      </c>
      <c r="DL198" t="s">
        <v>3</v>
      </c>
      <c r="DM198" t="s">
        <v>3</v>
      </c>
      <c r="DN198">
        <v>0</v>
      </c>
      <c r="DO198">
        <v>0</v>
      </c>
      <c r="DP198">
        <v>1</v>
      </c>
      <c r="DQ198">
        <v>1</v>
      </c>
      <c r="DU198">
        <v>1013</v>
      </c>
      <c r="DV198" t="s">
        <v>83</v>
      </c>
      <c r="DW198" t="s">
        <v>83</v>
      </c>
      <c r="DX198">
        <v>1</v>
      </c>
      <c r="EE198">
        <v>31266019</v>
      </c>
      <c r="EF198">
        <v>4</v>
      </c>
      <c r="EG198" t="s">
        <v>201</v>
      </c>
      <c r="EH198">
        <v>0</v>
      </c>
      <c r="EI198" t="s">
        <v>3</v>
      </c>
      <c r="EJ198">
        <v>4</v>
      </c>
      <c r="EK198">
        <v>200001</v>
      </c>
      <c r="EL198" t="s">
        <v>206</v>
      </c>
      <c r="EM198" t="s">
        <v>207</v>
      </c>
      <c r="EO198" t="s">
        <v>3</v>
      </c>
      <c r="EQ198">
        <v>0</v>
      </c>
      <c r="ER198">
        <v>10.5</v>
      </c>
      <c r="ES198">
        <v>0</v>
      </c>
      <c r="ET198">
        <v>0</v>
      </c>
      <c r="EU198">
        <v>0</v>
      </c>
      <c r="EV198">
        <v>10.5</v>
      </c>
      <c r="EW198">
        <v>0.82</v>
      </c>
      <c r="EX198">
        <v>0</v>
      </c>
      <c r="EY198">
        <v>0</v>
      </c>
      <c r="FQ198">
        <v>0</v>
      </c>
      <c r="FR198">
        <f>ROUND(IF(AND(BH198=3,BI198=3),P198,0),2)</f>
        <v>0</v>
      </c>
      <c r="FS198">
        <v>0</v>
      </c>
      <c r="FV198" t="s">
        <v>26</v>
      </c>
      <c r="FW198" t="s">
        <v>27</v>
      </c>
      <c r="FX198">
        <v>65</v>
      </c>
      <c r="FY198">
        <v>40</v>
      </c>
      <c r="GA198" t="s">
        <v>3</v>
      </c>
      <c r="GD198">
        <v>0</v>
      </c>
      <c r="GF198">
        <v>-1118003811</v>
      </c>
      <c r="GG198">
        <v>2</v>
      </c>
      <c r="GH198">
        <v>1</v>
      </c>
      <c r="GI198">
        <v>2</v>
      </c>
      <c r="GJ198">
        <v>0</v>
      </c>
      <c r="GK198">
        <f>ROUND(R198*(R12)/100,2)</f>
        <v>0</v>
      </c>
      <c r="GL198">
        <f>ROUND(IF(AND(BH198=3,BI198=3,FS198&lt;&gt;0),P198,0),2)</f>
        <v>0</v>
      </c>
      <c r="GM198">
        <f>ROUND(O198+X198+Y198+GK198,2)+GX198</f>
        <v>1456.13</v>
      </c>
      <c r="GN198">
        <f>IF(OR(BI198=0,BI198=1),ROUND(O198+X198+Y198+GK198,2),0)</f>
        <v>0</v>
      </c>
      <c r="GO198">
        <f>IF(BI198=2,ROUND(O198+X198+Y198+GK198,2),0)</f>
        <v>0</v>
      </c>
      <c r="GP198">
        <f>IF(BI198=4,ROUND(O198+X198+Y198+GK198,2)+GX198,0)</f>
        <v>1456.13</v>
      </c>
      <c r="GR198">
        <v>0</v>
      </c>
      <c r="GS198">
        <v>3</v>
      </c>
      <c r="GT198">
        <v>0</v>
      </c>
      <c r="GU198" t="s">
        <v>3</v>
      </c>
      <c r="GV198">
        <f>ROUND(GT198,2)</f>
        <v>0</v>
      </c>
      <c r="GW198">
        <v>1</v>
      </c>
      <c r="GX198">
        <f>ROUND(GV198*GW198*I198,2)</f>
        <v>0</v>
      </c>
      <c r="HA198">
        <v>0</v>
      </c>
      <c r="HB198">
        <v>0</v>
      </c>
      <c r="IK198">
        <v>0</v>
      </c>
    </row>
    <row r="200" spans="1:245" x14ac:dyDescent="0.2">
      <c r="A200" s="2">
        <v>51</v>
      </c>
      <c r="B200" s="2">
        <f>B193</f>
        <v>1</v>
      </c>
      <c r="C200" s="2">
        <f>A193</f>
        <v>4</v>
      </c>
      <c r="D200" s="2">
        <f>ROW(A193)</f>
        <v>193</v>
      </c>
      <c r="E200" s="2"/>
      <c r="F200" s="2" t="str">
        <f>IF(F193&lt;&gt;"",F193,"")</f>
        <v>Новый раздел</v>
      </c>
      <c r="G200" s="2" t="str">
        <f>IF(G193&lt;&gt;"",G193,"")</f>
        <v>РУ 0,4 кВ №2</v>
      </c>
      <c r="H200" s="2">
        <v>0</v>
      </c>
      <c r="I200" s="2"/>
      <c r="J200" s="2"/>
      <c r="K200" s="2"/>
      <c r="L200" s="2"/>
      <c r="M200" s="2"/>
      <c r="N200" s="2"/>
      <c r="O200" s="2">
        <f t="shared" ref="O200:T200" si="132">ROUND(AB200,2)</f>
        <v>910.44</v>
      </c>
      <c r="P200" s="2">
        <f t="shared" si="132"/>
        <v>0</v>
      </c>
      <c r="Q200" s="2">
        <f t="shared" si="132"/>
        <v>0</v>
      </c>
      <c r="R200" s="2">
        <f t="shared" si="132"/>
        <v>0</v>
      </c>
      <c r="S200" s="2">
        <f t="shared" si="132"/>
        <v>910.44</v>
      </c>
      <c r="T200" s="2">
        <f t="shared" si="132"/>
        <v>0</v>
      </c>
      <c r="U200" s="2">
        <f>AH200</f>
        <v>2.8759999999999999</v>
      </c>
      <c r="V200" s="2">
        <f>AI200</f>
        <v>0</v>
      </c>
      <c r="W200" s="2">
        <f>ROUND(AJ200,2)</f>
        <v>0</v>
      </c>
      <c r="X200" s="2">
        <f>ROUND(AK200,2)</f>
        <v>500.74</v>
      </c>
      <c r="Y200" s="2">
        <f>ROUND(AL200,2)</f>
        <v>291.33999999999997</v>
      </c>
      <c r="Z200" s="2"/>
      <c r="AA200" s="2"/>
      <c r="AB200" s="2">
        <f>ROUND(SUMIF(AA197:AA198,"=35007309",O197:O198),2)</f>
        <v>910.44</v>
      </c>
      <c r="AC200" s="2">
        <f>ROUND(SUMIF(AA197:AA198,"=35007309",P197:P198),2)</f>
        <v>0</v>
      </c>
      <c r="AD200" s="2">
        <f>ROUND(SUMIF(AA197:AA198,"=35007309",Q197:Q198),2)</f>
        <v>0</v>
      </c>
      <c r="AE200" s="2">
        <f>ROUND(SUMIF(AA197:AA198,"=35007309",R197:R198),2)</f>
        <v>0</v>
      </c>
      <c r="AF200" s="2">
        <f>ROUND(SUMIF(AA197:AA198,"=35007309",S197:S198),2)</f>
        <v>910.44</v>
      </c>
      <c r="AG200" s="2">
        <f>ROUND(SUMIF(AA197:AA198,"=35007309",T197:T198),2)</f>
        <v>0</v>
      </c>
      <c r="AH200" s="2">
        <f>SUMIF(AA197:AA198,"=35007309",U197:U198)</f>
        <v>2.8759999999999999</v>
      </c>
      <c r="AI200" s="2">
        <f>SUMIF(AA197:AA198,"=35007309",V197:V198)</f>
        <v>0</v>
      </c>
      <c r="AJ200" s="2">
        <f>ROUND(SUMIF(AA197:AA198,"=35007309",W197:W198),2)</f>
        <v>0</v>
      </c>
      <c r="AK200" s="2">
        <f>ROUND(SUMIF(AA197:AA198,"=35007309",X197:X198),2)</f>
        <v>500.74</v>
      </c>
      <c r="AL200" s="2">
        <f>ROUND(SUMIF(AA197:AA198,"=35007309",Y197:Y198),2)</f>
        <v>291.33999999999997</v>
      </c>
      <c r="AM200" s="2"/>
      <c r="AN200" s="2"/>
      <c r="AO200" s="2">
        <f t="shared" ref="AO200:BC200" si="133">ROUND(BX200,2)</f>
        <v>0</v>
      </c>
      <c r="AP200" s="2">
        <f t="shared" si="133"/>
        <v>0</v>
      </c>
      <c r="AQ200" s="2">
        <f t="shared" si="133"/>
        <v>0</v>
      </c>
      <c r="AR200" s="2">
        <f t="shared" si="133"/>
        <v>1702.52</v>
      </c>
      <c r="AS200" s="2">
        <f t="shared" si="133"/>
        <v>0</v>
      </c>
      <c r="AT200" s="2">
        <f t="shared" si="133"/>
        <v>0</v>
      </c>
      <c r="AU200" s="2">
        <f t="shared" si="133"/>
        <v>1702.52</v>
      </c>
      <c r="AV200" s="2">
        <f t="shared" si="133"/>
        <v>0</v>
      </c>
      <c r="AW200" s="2">
        <f t="shared" si="133"/>
        <v>0</v>
      </c>
      <c r="AX200" s="2">
        <f t="shared" si="133"/>
        <v>0</v>
      </c>
      <c r="AY200" s="2">
        <f t="shared" si="133"/>
        <v>0</v>
      </c>
      <c r="AZ200" s="2">
        <f t="shared" si="133"/>
        <v>0</v>
      </c>
      <c r="BA200" s="2">
        <f t="shared" si="133"/>
        <v>0</v>
      </c>
      <c r="BB200" s="2">
        <f t="shared" si="133"/>
        <v>0</v>
      </c>
      <c r="BC200" s="2">
        <f t="shared" si="133"/>
        <v>0</v>
      </c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>
        <f>ROUND(SUMIF(AA197:AA198,"=35007309",FQ197:FQ198),2)</f>
        <v>0</v>
      </c>
      <c r="BY200" s="2">
        <f>ROUND(SUMIF(AA197:AA198,"=35007309",FR197:FR198),2)</f>
        <v>0</v>
      </c>
      <c r="BZ200" s="2">
        <f>ROUND(SUMIF(AA197:AA198,"=35007309",GL197:GL198),2)</f>
        <v>0</v>
      </c>
      <c r="CA200" s="2">
        <f>ROUND(SUMIF(AA197:AA198,"=35007309",GM197:GM198),2)</f>
        <v>1702.52</v>
      </c>
      <c r="CB200" s="2">
        <f>ROUND(SUMIF(AA197:AA198,"=35007309",GN197:GN198),2)</f>
        <v>0</v>
      </c>
      <c r="CC200" s="2">
        <f>ROUND(SUMIF(AA197:AA198,"=35007309",GO197:GO198),2)</f>
        <v>0</v>
      </c>
      <c r="CD200" s="2">
        <f>ROUND(SUMIF(AA197:AA198,"=35007309",GP197:GP198),2)</f>
        <v>1702.52</v>
      </c>
      <c r="CE200" s="2">
        <f>AC200-BX200</f>
        <v>0</v>
      </c>
      <c r="CF200" s="2">
        <f>AC200-BY200</f>
        <v>0</v>
      </c>
      <c r="CG200" s="2">
        <f>BX200-BZ200</f>
        <v>0</v>
      </c>
      <c r="CH200" s="2">
        <f>AC200-BX200-BY200+BZ200</f>
        <v>0</v>
      </c>
      <c r="CI200" s="2">
        <f>BY200-BZ200</f>
        <v>0</v>
      </c>
      <c r="CJ200" s="2">
        <f>ROUND(SUMIF(AA197:AA198,"=35007309",GX197:GX198),2)</f>
        <v>0</v>
      </c>
      <c r="CK200" s="2">
        <f>ROUND(SUMIF(AA197:AA198,"=35007309",GY197:GY198),2)</f>
        <v>0</v>
      </c>
      <c r="CL200" s="2">
        <f>ROUND(SUMIF(AA197:AA198,"=35007309",GZ197:GZ198),2)</f>
        <v>0</v>
      </c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  <c r="GU200" s="3"/>
      <c r="GV200" s="3"/>
      <c r="GW200" s="3"/>
      <c r="GX200" s="3">
        <v>0</v>
      </c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201</v>
      </c>
      <c r="F202" s="4">
        <f>ROUND(Source!O200,O202)</f>
        <v>910.44</v>
      </c>
      <c r="G202" s="4" t="s">
        <v>128</v>
      </c>
      <c r="H202" s="4" t="s">
        <v>129</v>
      </c>
      <c r="I202" s="4"/>
      <c r="J202" s="4"/>
      <c r="K202" s="4">
        <v>201</v>
      </c>
      <c r="L202" s="4">
        <v>1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202</v>
      </c>
      <c r="F203" s="4">
        <f>ROUND(Source!P200,O203)</f>
        <v>0</v>
      </c>
      <c r="G203" s="4" t="s">
        <v>130</v>
      </c>
      <c r="H203" s="4" t="s">
        <v>131</v>
      </c>
      <c r="I203" s="4"/>
      <c r="J203" s="4"/>
      <c r="K203" s="4">
        <v>202</v>
      </c>
      <c r="L203" s="4">
        <v>2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222</v>
      </c>
      <c r="F204" s="4">
        <f>ROUND(Source!AO200,O204)</f>
        <v>0</v>
      </c>
      <c r="G204" s="4" t="s">
        <v>132</v>
      </c>
      <c r="H204" s="4" t="s">
        <v>133</v>
      </c>
      <c r="I204" s="4"/>
      <c r="J204" s="4"/>
      <c r="K204" s="4">
        <v>222</v>
      </c>
      <c r="L204" s="4">
        <v>3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225</v>
      </c>
      <c r="F205" s="4">
        <f>ROUND(Source!AV200,O205)</f>
        <v>0</v>
      </c>
      <c r="G205" s="4" t="s">
        <v>134</v>
      </c>
      <c r="H205" s="4" t="s">
        <v>135</v>
      </c>
      <c r="I205" s="4"/>
      <c r="J205" s="4"/>
      <c r="K205" s="4">
        <v>225</v>
      </c>
      <c r="L205" s="4">
        <v>4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226</v>
      </c>
      <c r="F206" s="4">
        <f>ROUND(Source!AW200,O206)</f>
        <v>0</v>
      </c>
      <c r="G206" s="4" t="s">
        <v>136</v>
      </c>
      <c r="H206" s="4" t="s">
        <v>137</v>
      </c>
      <c r="I206" s="4"/>
      <c r="J206" s="4"/>
      <c r="K206" s="4">
        <v>226</v>
      </c>
      <c r="L206" s="4">
        <v>5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227</v>
      </c>
      <c r="F207" s="4">
        <f>ROUND(Source!AX200,O207)</f>
        <v>0</v>
      </c>
      <c r="G207" s="4" t="s">
        <v>138</v>
      </c>
      <c r="H207" s="4" t="s">
        <v>139</v>
      </c>
      <c r="I207" s="4"/>
      <c r="J207" s="4"/>
      <c r="K207" s="4">
        <v>227</v>
      </c>
      <c r="L207" s="4">
        <v>6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228</v>
      </c>
      <c r="F208" s="4">
        <f>ROUND(Source!AY200,O208)</f>
        <v>0</v>
      </c>
      <c r="G208" s="4" t="s">
        <v>140</v>
      </c>
      <c r="H208" s="4" t="s">
        <v>141</v>
      </c>
      <c r="I208" s="4"/>
      <c r="J208" s="4"/>
      <c r="K208" s="4">
        <v>228</v>
      </c>
      <c r="L208" s="4">
        <v>7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216</v>
      </c>
      <c r="F209" s="4">
        <f>ROUND(Source!AP200,O209)</f>
        <v>0</v>
      </c>
      <c r="G209" s="4" t="s">
        <v>142</v>
      </c>
      <c r="H209" s="4" t="s">
        <v>143</v>
      </c>
      <c r="I209" s="4"/>
      <c r="J209" s="4"/>
      <c r="K209" s="4">
        <v>216</v>
      </c>
      <c r="L209" s="4">
        <v>8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223</v>
      </c>
      <c r="F210" s="4">
        <f>ROUND(Source!AQ200,O210)</f>
        <v>0</v>
      </c>
      <c r="G210" s="4" t="s">
        <v>144</v>
      </c>
      <c r="H210" s="4" t="s">
        <v>145</v>
      </c>
      <c r="I210" s="4"/>
      <c r="J210" s="4"/>
      <c r="K210" s="4">
        <v>223</v>
      </c>
      <c r="L210" s="4">
        <v>9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229</v>
      </c>
      <c r="F211" s="4">
        <f>ROUND(Source!AZ200,O211)</f>
        <v>0</v>
      </c>
      <c r="G211" s="4" t="s">
        <v>146</v>
      </c>
      <c r="H211" s="4" t="s">
        <v>147</v>
      </c>
      <c r="I211" s="4"/>
      <c r="J211" s="4"/>
      <c r="K211" s="4">
        <v>229</v>
      </c>
      <c r="L211" s="4">
        <v>10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203</v>
      </c>
      <c r="F212" s="4">
        <f>ROUND(Source!Q200,O212)</f>
        <v>0</v>
      </c>
      <c r="G212" s="4" t="s">
        <v>148</v>
      </c>
      <c r="H212" s="4" t="s">
        <v>149</v>
      </c>
      <c r="I212" s="4"/>
      <c r="J212" s="4"/>
      <c r="K212" s="4">
        <v>203</v>
      </c>
      <c r="L212" s="4">
        <v>11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231</v>
      </c>
      <c r="F213" s="4">
        <f>ROUND(Source!BB200,O213)</f>
        <v>0</v>
      </c>
      <c r="G213" s="4" t="s">
        <v>150</v>
      </c>
      <c r="H213" s="4" t="s">
        <v>151</v>
      </c>
      <c r="I213" s="4"/>
      <c r="J213" s="4"/>
      <c r="K213" s="4">
        <v>231</v>
      </c>
      <c r="L213" s="4">
        <v>12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204</v>
      </c>
      <c r="F214" s="4">
        <f>ROUND(Source!R200,O214)</f>
        <v>0</v>
      </c>
      <c r="G214" s="4" t="s">
        <v>152</v>
      </c>
      <c r="H214" s="4" t="s">
        <v>153</v>
      </c>
      <c r="I214" s="4"/>
      <c r="J214" s="4"/>
      <c r="K214" s="4">
        <v>204</v>
      </c>
      <c r="L214" s="4">
        <v>13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205</v>
      </c>
      <c r="F215" s="4">
        <f>ROUND(Source!S200,O215)</f>
        <v>910.44</v>
      </c>
      <c r="G215" s="4" t="s">
        <v>154</v>
      </c>
      <c r="H215" s="4" t="s">
        <v>155</v>
      </c>
      <c r="I215" s="4"/>
      <c r="J215" s="4"/>
      <c r="K215" s="4">
        <v>205</v>
      </c>
      <c r="L215" s="4">
        <v>14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232</v>
      </c>
      <c r="F216" s="4">
        <f>ROUND(Source!BC200,O216)</f>
        <v>0</v>
      </c>
      <c r="G216" s="4" t="s">
        <v>156</v>
      </c>
      <c r="H216" s="4" t="s">
        <v>157</v>
      </c>
      <c r="I216" s="4"/>
      <c r="J216" s="4"/>
      <c r="K216" s="4">
        <v>232</v>
      </c>
      <c r="L216" s="4">
        <v>15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214</v>
      </c>
      <c r="F217" s="4">
        <f>ROUND(Source!AS200,O217)</f>
        <v>0</v>
      </c>
      <c r="G217" s="4" t="s">
        <v>158</v>
      </c>
      <c r="H217" s="4" t="s">
        <v>159</v>
      </c>
      <c r="I217" s="4"/>
      <c r="J217" s="4"/>
      <c r="K217" s="4">
        <v>214</v>
      </c>
      <c r="L217" s="4">
        <v>16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215</v>
      </c>
      <c r="F218" s="4">
        <f>ROUND(Source!AT200,O218)</f>
        <v>0</v>
      </c>
      <c r="G218" s="4" t="s">
        <v>160</v>
      </c>
      <c r="H218" s="4" t="s">
        <v>161</v>
      </c>
      <c r="I218" s="4"/>
      <c r="J218" s="4"/>
      <c r="K218" s="4">
        <v>215</v>
      </c>
      <c r="L218" s="4">
        <v>17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217</v>
      </c>
      <c r="F219" s="4">
        <f>ROUND(Source!AU200,O219)</f>
        <v>1702.52</v>
      </c>
      <c r="G219" s="4" t="s">
        <v>162</v>
      </c>
      <c r="H219" s="4" t="s">
        <v>163</v>
      </c>
      <c r="I219" s="4"/>
      <c r="J219" s="4"/>
      <c r="K219" s="4">
        <v>217</v>
      </c>
      <c r="L219" s="4">
        <v>18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230</v>
      </c>
      <c r="F220" s="4">
        <f>ROUND(Source!BA200,O220)</f>
        <v>0</v>
      </c>
      <c r="G220" s="4" t="s">
        <v>164</v>
      </c>
      <c r="H220" s="4" t="s">
        <v>165</v>
      </c>
      <c r="I220" s="4"/>
      <c r="J220" s="4"/>
      <c r="K220" s="4">
        <v>230</v>
      </c>
      <c r="L220" s="4">
        <v>19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206</v>
      </c>
      <c r="F221" s="4">
        <f>ROUND(Source!T200,O221)</f>
        <v>0</v>
      </c>
      <c r="G221" s="4" t="s">
        <v>166</v>
      </c>
      <c r="H221" s="4" t="s">
        <v>167</v>
      </c>
      <c r="I221" s="4"/>
      <c r="J221" s="4"/>
      <c r="K221" s="4">
        <v>206</v>
      </c>
      <c r="L221" s="4">
        <v>20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207</v>
      </c>
      <c r="F222" s="4">
        <f>Source!U200</f>
        <v>2.8759999999999999</v>
      </c>
      <c r="G222" s="4" t="s">
        <v>168</v>
      </c>
      <c r="H222" s="4" t="s">
        <v>169</v>
      </c>
      <c r="I222" s="4"/>
      <c r="J222" s="4"/>
      <c r="K222" s="4">
        <v>207</v>
      </c>
      <c r="L222" s="4">
        <v>21</v>
      </c>
      <c r="M222" s="4">
        <v>3</v>
      </c>
      <c r="N222" s="4" t="s">
        <v>3</v>
      </c>
      <c r="O222" s="4">
        <v>-1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208</v>
      </c>
      <c r="F223" s="4">
        <f>Source!V200</f>
        <v>0</v>
      </c>
      <c r="G223" s="4" t="s">
        <v>170</v>
      </c>
      <c r="H223" s="4" t="s">
        <v>171</v>
      </c>
      <c r="I223" s="4"/>
      <c r="J223" s="4"/>
      <c r="K223" s="4">
        <v>208</v>
      </c>
      <c r="L223" s="4">
        <v>22</v>
      </c>
      <c r="M223" s="4">
        <v>3</v>
      </c>
      <c r="N223" s="4" t="s">
        <v>3</v>
      </c>
      <c r="O223" s="4">
        <v>-1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209</v>
      </c>
      <c r="F224" s="4">
        <f>ROUND(Source!W200,O224)</f>
        <v>0</v>
      </c>
      <c r="G224" s="4" t="s">
        <v>172</v>
      </c>
      <c r="H224" s="4" t="s">
        <v>173</v>
      </c>
      <c r="I224" s="4"/>
      <c r="J224" s="4"/>
      <c r="K224" s="4">
        <v>209</v>
      </c>
      <c r="L224" s="4">
        <v>23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210</v>
      </c>
      <c r="F225" s="4">
        <f>ROUND(Source!X200,O225)</f>
        <v>500.74</v>
      </c>
      <c r="G225" s="4" t="s">
        <v>174</v>
      </c>
      <c r="H225" s="4" t="s">
        <v>175</v>
      </c>
      <c r="I225" s="4"/>
      <c r="J225" s="4"/>
      <c r="K225" s="4">
        <v>210</v>
      </c>
      <c r="L225" s="4">
        <v>24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211</v>
      </c>
      <c r="F226" s="4">
        <f>ROUND(Source!Y200,O226)</f>
        <v>291.33999999999997</v>
      </c>
      <c r="G226" s="4" t="s">
        <v>176</v>
      </c>
      <c r="H226" s="4" t="s">
        <v>177</v>
      </c>
      <c r="I226" s="4"/>
      <c r="J226" s="4"/>
      <c r="K226" s="4">
        <v>211</v>
      </c>
      <c r="L226" s="4">
        <v>25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224</v>
      </c>
      <c r="F227" s="4">
        <f>ROUND(Source!AR200,O227)</f>
        <v>1702.52</v>
      </c>
      <c r="G227" s="4" t="s">
        <v>178</v>
      </c>
      <c r="H227" s="4" t="s">
        <v>179</v>
      </c>
      <c r="I227" s="4"/>
      <c r="J227" s="4"/>
      <c r="K227" s="4">
        <v>224</v>
      </c>
      <c r="L227" s="4">
        <v>26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9" spans="1:206" x14ac:dyDescent="0.2">
      <c r="A229" s="2">
        <v>51</v>
      </c>
      <c r="B229" s="2">
        <f>B151</f>
        <v>1</v>
      </c>
      <c r="C229" s="2">
        <f>A151</f>
        <v>3</v>
      </c>
      <c r="D229" s="2">
        <f>ROW(A151)</f>
        <v>151</v>
      </c>
      <c r="E229" s="2"/>
      <c r="F229" s="2" t="str">
        <f>IF(F151&lt;&gt;"",F151,"")</f>
        <v>09-01-01</v>
      </c>
      <c r="G229" s="2"/>
      <c r="H229" s="2">
        <v>0</v>
      </c>
      <c r="I229" s="2"/>
      <c r="J229" s="2"/>
      <c r="K229" s="2"/>
      <c r="L229" s="2"/>
      <c r="M229" s="2"/>
      <c r="N229" s="2"/>
      <c r="O229" s="2">
        <f t="shared" ref="O229:T229" si="134">ROUND(O164+O200+AB229,2)</f>
        <v>10680.04</v>
      </c>
      <c r="P229" s="2">
        <f t="shared" si="134"/>
        <v>0</v>
      </c>
      <c r="Q229" s="2">
        <f t="shared" si="134"/>
        <v>0</v>
      </c>
      <c r="R229" s="2">
        <f t="shared" si="134"/>
        <v>0</v>
      </c>
      <c r="S229" s="2">
        <f t="shared" si="134"/>
        <v>10680.04</v>
      </c>
      <c r="T229" s="2">
        <f t="shared" si="134"/>
        <v>0</v>
      </c>
      <c r="U229" s="2">
        <f>U164+U200+AH229</f>
        <v>36.033999999999999</v>
      </c>
      <c r="V229" s="2">
        <f>V164+V200+AI229</f>
        <v>0</v>
      </c>
      <c r="W229" s="2">
        <f>ROUND(W164+W200+AJ229,2)</f>
        <v>0</v>
      </c>
      <c r="X229" s="2">
        <f>ROUND(X164+X200+AK229,2)</f>
        <v>5874.02</v>
      </c>
      <c r="Y229" s="2">
        <f>ROUND(Y164+Y200+AL229,2)</f>
        <v>3417.61</v>
      </c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>
        <f t="shared" ref="AO229:BC229" si="135">ROUND(AO164+AO200+BX229,2)</f>
        <v>0</v>
      </c>
      <c r="AP229" s="2">
        <f t="shared" si="135"/>
        <v>0</v>
      </c>
      <c r="AQ229" s="2">
        <f t="shared" si="135"/>
        <v>0</v>
      </c>
      <c r="AR229" s="2">
        <f t="shared" si="135"/>
        <v>19971.669999999998</v>
      </c>
      <c r="AS229" s="2">
        <f t="shared" si="135"/>
        <v>0</v>
      </c>
      <c r="AT229" s="2">
        <f t="shared" si="135"/>
        <v>0</v>
      </c>
      <c r="AU229" s="2">
        <f t="shared" si="135"/>
        <v>19971.669999999998</v>
      </c>
      <c r="AV229" s="2">
        <f t="shared" si="135"/>
        <v>0</v>
      </c>
      <c r="AW229" s="2">
        <f t="shared" si="135"/>
        <v>0</v>
      </c>
      <c r="AX229" s="2">
        <f t="shared" si="135"/>
        <v>0</v>
      </c>
      <c r="AY229" s="2">
        <f t="shared" si="135"/>
        <v>0</v>
      </c>
      <c r="AZ229" s="2">
        <f t="shared" si="135"/>
        <v>0</v>
      </c>
      <c r="BA229" s="2">
        <f t="shared" si="135"/>
        <v>0</v>
      </c>
      <c r="BB229" s="2">
        <f t="shared" si="135"/>
        <v>0</v>
      </c>
      <c r="BC229" s="2">
        <f t="shared" si="135"/>
        <v>0</v>
      </c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  <c r="GU229" s="3"/>
      <c r="GV229" s="3"/>
      <c r="GW229" s="3"/>
      <c r="GX229" s="3">
        <v>0</v>
      </c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201</v>
      </c>
      <c r="F231" s="4">
        <f>ROUND(Source!O229,O231)</f>
        <v>10680.04</v>
      </c>
      <c r="G231" s="4" t="s">
        <v>128</v>
      </c>
      <c r="H231" s="4" t="s">
        <v>129</v>
      </c>
      <c r="I231" s="4"/>
      <c r="J231" s="4"/>
      <c r="K231" s="4">
        <v>201</v>
      </c>
      <c r="L231" s="4">
        <v>1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202</v>
      </c>
      <c r="F232" s="4">
        <f>ROUND(Source!P229,O232)</f>
        <v>0</v>
      </c>
      <c r="G232" s="4" t="s">
        <v>130</v>
      </c>
      <c r="H232" s="4" t="s">
        <v>131</v>
      </c>
      <c r="I232" s="4"/>
      <c r="J232" s="4"/>
      <c r="K232" s="4">
        <v>202</v>
      </c>
      <c r="L232" s="4">
        <v>2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222</v>
      </c>
      <c r="F233" s="4">
        <f>ROUND(Source!AO229,O233)</f>
        <v>0</v>
      </c>
      <c r="G233" s="4" t="s">
        <v>132</v>
      </c>
      <c r="H233" s="4" t="s">
        <v>133</v>
      </c>
      <c r="I233" s="4"/>
      <c r="J233" s="4"/>
      <c r="K233" s="4">
        <v>222</v>
      </c>
      <c r="L233" s="4">
        <v>3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225</v>
      </c>
      <c r="F234" s="4">
        <f>ROUND(Source!AV229,O234)</f>
        <v>0</v>
      </c>
      <c r="G234" s="4" t="s">
        <v>134</v>
      </c>
      <c r="H234" s="4" t="s">
        <v>135</v>
      </c>
      <c r="I234" s="4"/>
      <c r="J234" s="4"/>
      <c r="K234" s="4">
        <v>225</v>
      </c>
      <c r="L234" s="4">
        <v>4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226</v>
      </c>
      <c r="F235" s="4">
        <f>ROUND(Source!AW229,O235)</f>
        <v>0</v>
      </c>
      <c r="G235" s="4" t="s">
        <v>136</v>
      </c>
      <c r="H235" s="4" t="s">
        <v>137</v>
      </c>
      <c r="I235" s="4"/>
      <c r="J235" s="4"/>
      <c r="K235" s="4">
        <v>226</v>
      </c>
      <c r="L235" s="4">
        <v>5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227</v>
      </c>
      <c r="F236" s="4">
        <f>ROUND(Source!AX229,O236)</f>
        <v>0</v>
      </c>
      <c r="G236" s="4" t="s">
        <v>138</v>
      </c>
      <c r="H236" s="4" t="s">
        <v>139</v>
      </c>
      <c r="I236" s="4"/>
      <c r="J236" s="4"/>
      <c r="K236" s="4">
        <v>227</v>
      </c>
      <c r="L236" s="4">
        <v>6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228</v>
      </c>
      <c r="F237" s="4">
        <f>ROUND(Source!AY229,O237)</f>
        <v>0</v>
      </c>
      <c r="G237" s="4" t="s">
        <v>140</v>
      </c>
      <c r="H237" s="4" t="s">
        <v>141</v>
      </c>
      <c r="I237" s="4"/>
      <c r="J237" s="4"/>
      <c r="K237" s="4">
        <v>228</v>
      </c>
      <c r="L237" s="4">
        <v>7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216</v>
      </c>
      <c r="F238" s="4">
        <f>ROUND(Source!AP229,O238)</f>
        <v>0</v>
      </c>
      <c r="G238" s="4" t="s">
        <v>142</v>
      </c>
      <c r="H238" s="4" t="s">
        <v>143</v>
      </c>
      <c r="I238" s="4"/>
      <c r="J238" s="4"/>
      <c r="K238" s="4">
        <v>216</v>
      </c>
      <c r="L238" s="4">
        <v>8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223</v>
      </c>
      <c r="F239" s="4">
        <f>ROUND(Source!AQ229,O239)</f>
        <v>0</v>
      </c>
      <c r="G239" s="4" t="s">
        <v>144</v>
      </c>
      <c r="H239" s="4" t="s">
        <v>145</v>
      </c>
      <c r="I239" s="4"/>
      <c r="J239" s="4"/>
      <c r="K239" s="4">
        <v>223</v>
      </c>
      <c r="L239" s="4">
        <v>9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229</v>
      </c>
      <c r="F240" s="4">
        <f>ROUND(Source!AZ229,O240)</f>
        <v>0</v>
      </c>
      <c r="G240" s="4" t="s">
        <v>146</v>
      </c>
      <c r="H240" s="4" t="s">
        <v>147</v>
      </c>
      <c r="I240" s="4"/>
      <c r="J240" s="4"/>
      <c r="K240" s="4">
        <v>229</v>
      </c>
      <c r="L240" s="4">
        <v>10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203</v>
      </c>
      <c r="F241" s="4">
        <f>ROUND(Source!Q229,O241)</f>
        <v>0</v>
      </c>
      <c r="G241" s="4" t="s">
        <v>148</v>
      </c>
      <c r="H241" s="4" t="s">
        <v>149</v>
      </c>
      <c r="I241" s="4"/>
      <c r="J241" s="4"/>
      <c r="K241" s="4">
        <v>203</v>
      </c>
      <c r="L241" s="4">
        <v>11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231</v>
      </c>
      <c r="F242" s="4">
        <f>ROUND(Source!BB229,O242)</f>
        <v>0</v>
      </c>
      <c r="G242" s="4" t="s">
        <v>150</v>
      </c>
      <c r="H242" s="4" t="s">
        <v>151</v>
      </c>
      <c r="I242" s="4"/>
      <c r="J242" s="4"/>
      <c r="K242" s="4">
        <v>231</v>
      </c>
      <c r="L242" s="4">
        <v>12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204</v>
      </c>
      <c r="F243" s="4">
        <f>ROUND(Source!R229,O243)</f>
        <v>0</v>
      </c>
      <c r="G243" s="4" t="s">
        <v>152</v>
      </c>
      <c r="H243" s="4" t="s">
        <v>153</v>
      </c>
      <c r="I243" s="4"/>
      <c r="J243" s="4"/>
      <c r="K243" s="4">
        <v>204</v>
      </c>
      <c r="L243" s="4">
        <v>13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205</v>
      </c>
      <c r="F244" s="4">
        <f>ROUND(Source!S229,O244)</f>
        <v>10680.04</v>
      </c>
      <c r="G244" s="4" t="s">
        <v>154</v>
      </c>
      <c r="H244" s="4" t="s">
        <v>155</v>
      </c>
      <c r="I244" s="4"/>
      <c r="J244" s="4"/>
      <c r="K244" s="4">
        <v>205</v>
      </c>
      <c r="L244" s="4">
        <v>14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232</v>
      </c>
      <c r="F245" s="4">
        <f>ROUND(Source!BC229,O245)</f>
        <v>0</v>
      </c>
      <c r="G245" s="4" t="s">
        <v>156</v>
      </c>
      <c r="H245" s="4" t="s">
        <v>157</v>
      </c>
      <c r="I245" s="4"/>
      <c r="J245" s="4"/>
      <c r="K245" s="4">
        <v>232</v>
      </c>
      <c r="L245" s="4">
        <v>15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214</v>
      </c>
      <c r="F246" s="4">
        <f>ROUND(Source!AS229,O246)</f>
        <v>0</v>
      </c>
      <c r="G246" s="4" t="s">
        <v>158</v>
      </c>
      <c r="H246" s="4" t="s">
        <v>159</v>
      </c>
      <c r="I246" s="4"/>
      <c r="J246" s="4"/>
      <c r="K246" s="4">
        <v>214</v>
      </c>
      <c r="L246" s="4">
        <v>16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215</v>
      </c>
      <c r="F247" s="4">
        <f>ROUND(Source!AT229,O247)</f>
        <v>0</v>
      </c>
      <c r="G247" s="4" t="s">
        <v>160</v>
      </c>
      <c r="H247" s="4" t="s">
        <v>161</v>
      </c>
      <c r="I247" s="4"/>
      <c r="J247" s="4"/>
      <c r="K247" s="4">
        <v>215</v>
      </c>
      <c r="L247" s="4">
        <v>17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217</v>
      </c>
      <c r="F248" s="4">
        <f>ROUND(Source!AU229,O248)</f>
        <v>19971.669999999998</v>
      </c>
      <c r="G248" s="4" t="s">
        <v>162</v>
      </c>
      <c r="H248" s="4" t="s">
        <v>163</v>
      </c>
      <c r="I248" s="4"/>
      <c r="J248" s="4"/>
      <c r="K248" s="4">
        <v>217</v>
      </c>
      <c r="L248" s="4">
        <v>18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230</v>
      </c>
      <c r="F249" s="4">
        <f>ROUND(Source!BA229,O249)</f>
        <v>0</v>
      </c>
      <c r="G249" s="4" t="s">
        <v>164</v>
      </c>
      <c r="H249" s="4" t="s">
        <v>165</v>
      </c>
      <c r="I249" s="4"/>
      <c r="J249" s="4"/>
      <c r="K249" s="4">
        <v>230</v>
      </c>
      <c r="L249" s="4">
        <v>19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206</v>
      </c>
      <c r="F250" s="4">
        <f>ROUND(Source!T229,O250)</f>
        <v>0</v>
      </c>
      <c r="G250" s="4" t="s">
        <v>166</v>
      </c>
      <c r="H250" s="4" t="s">
        <v>167</v>
      </c>
      <c r="I250" s="4"/>
      <c r="J250" s="4"/>
      <c r="K250" s="4">
        <v>206</v>
      </c>
      <c r="L250" s="4">
        <v>20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207</v>
      </c>
      <c r="F251" s="4">
        <f>Source!U229</f>
        <v>36.033999999999999</v>
      </c>
      <c r="G251" s="4" t="s">
        <v>168</v>
      </c>
      <c r="H251" s="4" t="s">
        <v>169</v>
      </c>
      <c r="I251" s="4"/>
      <c r="J251" s="4"/>
      <c r="K251" s="4">
        <v>207</v>
      </c>
      <c r="L251" s="4">
        <v>21</v>
      </c>
      <c r="M251" s="4">
        <v>3</v>
      </c>
      <c r="N251" s="4" t="s">
        <v>3</v>
      </c>
      <c r="O251" s="4">
        <v>-1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1</v>
      </c>
      <c r="E252" s="4">
        <v>208</v>
      </c>
      <c r="F252" s="4">
        <f>Source!V229</f>
        <v>0</v>
      </c>
      <c r="G252" s="4" t="s">
        <v>170</v>
      </c>
      <c r="H252" s="4" t="s">
        <v>171</v>
      </c>
      <c r="I252" s="4"/>
      <c r="J252" s="4"/>
      <c r="K252" s="4">
        <v>208</v>
      </c>
      <c r="L252" s="4">
        <v>22</v>
      </c>
      <c r="M252" s="4">
        <v>3</v>
      </c>
      <c r="N252" s="4" t="s">
        <v>3</v>
      </c>
      <c r="O252" s="4">
        <v>-1</v>
      </c>
      <c r="P252" s="4"/>
      <c r="Q252" s="4"/>
      <c r="R252" s="4"/>
      <c r="S252" s="4"/>
      <c r="T252" s="4"/>
      <c r="U252" s="4"/>
      <c r="V252" s="4"/>
      <c r="W252" s="4"/>
    </row>
    <row r="253" spans="1:23" x14ac:dyDescent="0.2">
      <c r="A253" s="4">
        <v>50</v>
      </c>
      <c r="B253" s="4">
        <v>0</v>
      </c>
      <c r="C253" s="4">
        <v>0</v>
      </c>
      <c r="D253" s="4">
        <v>1</v>
      </c>
      <c r="E253" s="4">
        <v>209</v>
      </c>
      <c r="F253" s="4">
        <f>ROUND(Source!W229,O253)</f>
        <v>0</v>
      </c>
      <c r="G253" s="4" t="s">
        <v>172</v>
      </c>
      <c r="H253" s="4" t="s">
        <v>173</v>
      </c>
      <c r="I253" s="4"/>
      <c r="J253" s="4"/>
      <c r="K253" s="4">
        <v>209</v>
      </c>
      <c r="L253" s="4">
        <v>23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/>
    </row>
    <row r="254" spans="1:23" x14ac:dyDescent="0.2">
      <c r="A254" s="4">
        <v>50</v>
      </c>
      <c r="B254" s="4">
        <v>0</v>
      </c>
      <c r="C254" s="4">
        <v>0</v>
      </c>
      <c r="D254" s="4">
        <v>1</v>
      </c>
      <c r="E254" s="4">
        <v>210</v>
      </c>
      <c r="F254" s="4">
        <f>ROUND(Source!X229,O254)</f>
        <v>5874.02</v>
      </c>
      <c r="G254" s="4" t="s">
        <v>174</v>
      </c>
      <c r="H254" s="4" t="s">
        <v>175</v>
      </c>
      <c r="I254" s="4"/>
      <c r="J254" s="4"/>
      <c r="K254" s="4">
        <v>210</v>
      </c>
      <c r="L254" s="4">
        <v>24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/>
    </row>
    <row r="255" spans="1:23" x14ac:dyDescent="0.2">
      <c r="A255" s="4">
        <v>50</v>
      </c>
      <c r="B255" s="4">
        <v>0</v>
      </c>
      <c r="C255" s="4">
        <v>0</v>
      </c>
      <c r="D255" s="4">
        <v>1</v>
      </c>
      <c r="E255" s="4">
        <v>211</v>
      </c>
      <c r="F255" s="4">
        <f>ROUND(Source!Y229,O255)</f>
        <v>3417.61</v>
      </c>
      <c r="G255" s="4" t="s">
        <v>176</v>
      </c>
      <c r="H255" s="4" t="s">
        <v>177</v>
      </c>
      <c r="I255" s="4"/>
      <c r="J255" s="4"/>
      <c r="K255" s="4">
        <v>211</v>
      </c>
      <c r="L255" s="4">
        <v>25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/>
    </row>
    <row r="256" spans="1:23" x14ac:dyDescent="0.2">
      <c r="A256" s="4">
        <v>50</v>
      </c>
      <c r="B256" s="4">
        <v>0</v>
      </c>
      <c r="C256" s="4">
        <v>0</v>
      </c>
      <c r="D256" s="4">
        <v>1</v>
      </c>
      <c r="E256" s="4">
        <v>224</v>
      </c>
      <c r="F256" s="4">
        <f>ROUND(Source!AR229,O256)</f>
        <v>19971.669999999998</v>
      </c>
      <c r="G256" s="4" t="s">
        <v>178</v>
      </c>
      <c r="H256" s="4" t="s">
        <v>179</v>
      </c>
      <c r="I256" s="4"/>
      <c r="J256" s="4"/>
      <c r="K256" s="4">
        <v>224</v>
      </c>
      <c r="L256" s="4">
        <v>26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/>
    </row>
    <row r="258" spans="1:206" x14ac:dyDescent="0.2">
      <c r="A258" s="2">
        <v>51</v>
      </c>
      <c r="B258" s="2">
        <f>B12</f>
        <v>316</v>
      </c>
      <c r="C258" s="2">
        <f>A12</f>
        <v>1</v>
      </c>
      <c r="D258" s="2">
        <f>ROW(A12)</f>
        <v>12</v>
      </c>
      <c r="E258" s="2"/>
      <c r="F258" s="2" t="str">
        <f>IF(F12&lt;&gt;"",F12,"")</f>
        <v>присоединение РУ 0,4 ТП 5891 (ФЕР 2017)</v>
      </c>
      <c r="G258" s="2" t="str">
        <f>IF(G12&lt;&gt;"",G12,"")</f>
        <v>присоединение РУ 0,4 ТП 5891 (ФЕР 2017)</v>
      </c>
      <c r="H258" s="2">
        <v>0</v>
      </c>
      <c r="I258" s="2"/>
      <c r="J258" s="2"/>
      <c r="K258" s="2"/>
      <c r="L258" s="2"/>
      <c r="M258" s="2"/>
      <c r="N258" s="2"/>
      <c r="O258" s="2">
        <f t="shared" ref="O258:T258" si="136">ROUND(O121+O229,2)</f>
        <v>159028.12</v>
      </c>
      <c r="P258" s="2">
        <f t="shared" si="136"/>
        <v>114158.48</v>
      </c>
      <c r="Q258" s="2">
        <f t="shared" si="136"/>
        <v>817.05</v>
      </c>
      <c r="R258" s="2">
        <f t="shared" si="136"/>
        <v>239.15</v>
      </c>
      <c r="S258" s="2">
        <f t="shared" si="136"/>
        <v>44052.59</v>
      </c>
      <c r="T258" s="2">
        <f t="shared" si="136"/>
        <v>0</v>
      </c>
      <c r="U258" s="2">
        <f>U121+U229</f>
        <v>183.02568000000002</v>
      </c>
      <c r="V258" s="2">
        <f>V121+V229</f>
        <v>0.76433000000000006</v>
      </c>
      <c r="W258" s="2">
        <f>ROUND(W121+W229,2)</f>
        <v>0</v>
      </c>
      <c r="X258" s="2">
        <f>ROUND(X121+X229,2)</f>
        <v>32636.11</v>
      </c>
      <c r="Y258" s="2">
        <f>ROUND(Y121+Y229,2)</f>
        <v>20311.37</v>
      </c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>
        <f t="shared" ref="AO258:BC258" si="137">ROUND(AO121+AO229,2)</f>
        <v>8730.1299999999992</v>
      </c>
      <c r="AP258" s="2">
        <f t="shared" si="137"/>
        <v>0</v>
      </c>
      <c r="AQ258" s="2">
        <f t="shared" si="137"/>
        <v>0</v>
      </c>
      <c r="AR258" s="2">
        <f t="shared" si="137"/>
        <v>211975.6</v>
      </c>
      <c r="AS258" s="2">
        <f t="shared" si="137"/>
        <v>33267.96</v>
      </c>
      <c r="AT258" s="2">
        <f t="shared" si="137"/>
        <v>158735.97</v>
      </c>
      <c r="AU258" s="2">
        <f t="shared" si="137"/>
        <v>19971.669999999998</v>
      </c>
      <c r="AV258" s="2">
        <f t="shared" si="137"/>
        <v>105428.35</v>
      </c>
      <c r="AW258" s="2">
        <f t="shared" si="137"/>
        <v>114158.48</v>
      </c>
      <c r="AX258" s="2">
        <f t="shared" si="137"/>
        <v>8730.1299999999992</v>
      </c>
      <c r="AY258" s="2">
        <f t="shared" si="137"/>
        <v>105428.35</v>
      </c>
      <c r="AZ258" s="2">
        <f t="shared" si="137"/>
        <v>0</v>
      </c>
      <c r="BA258" s="2">
        <f t="shared" si="137"/>
        <v>0</v>
      </c>
      <c r="BB258" s="2">
        <f t="shared" si="137"/>
        <v>0</v>
      </c>
      <c r="BC258" s="2">
        <f t="shared" si="137"/>
        <v>0</v>
      </c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3"/>
      <c r="DH258" s="3"/>
      <c r="DI258" s="3"/>
      <c r="DJ258" s="3"/>
      <c r="DK258" s="3"/>
      <c r="DL258" s="3"/>
      <c r="DM258" s="3"/>
      <c r="DN258" s="3"/>
      <c r="DO258" s="3"/>
      <c r="DP258" s="3"/>
      <c r="DQ258" s="3"/>
      <c r="DR258" s="3"/>
      <c r="DS258" s="3"/>
      <c r="DT258" s="3"/>
      <c r="DU258" s="3"/>
      <c r="DV258" s="3"/>
      <c r="DW258" s="3"/>
      <c r="DX258" s="3"/>
      <c r="DY258" s="3"/>
      <c r="DZ258" s="3"/>
      <c r="EA258" s="3"/>
      <c r="EB258" s="3"/>
      <c r="EC258" s="3"/>
      <c r="ED258" s="3"/>
      <c r="EE258" s="3"/>
      <c r="EF258" s="3"/>
      <c r="EG258" s="3"/>
      <c r="EH258" s="3"/>
      <c r="EI258" s="3"/>
      <c r="EJ258" s="3"/>
      <c r="EK258" s="3"/>
      <c r="EL258" s="3"/>
      <c r="EM258" s="3"/>
      <c r="EN258" s="3"/>
      <c r="EO258" s="3"/>
      <c r="EP258" s="3"/>
      <c r="EQ258" s="3"/>
      <c r="ER258" s="3"/>
      <c r="ES258" s="3"/>
      <c r="ET258" s="3"/>
      <c r="EU258" s="3"/>
      <c r="EV258" s="3"/>
      <c r="EW258" s="3"/>
      <c r="EX258" s="3"/>
      <c r="EY258" s="3"/>
      <c r="EZ258" s="3"/>
      <c r="FA258" s="3"/>
      <c r="FB258" s="3"/>
      <c r="FC258" s="3"/>
      <c r="FD258" s="3"/>
      <c r="FE258" s="3"/>
      <c r="FF258" s="3"/>
      <c r="FG258" s="3"/>
      <c r="FH258" s="3"/>
      <c r="FI258" s="3"/>
      <c r="FJ258" s="3"/>
      <c r="FK258" s="3"/>
      <c r="FL258" s="3"/>
      <c r="FM258" s="3"/>
      <c r="FN258" s="3"/>
      <c r="FO258" s="3"/>
      <c r="FP258" s="3"/>
      <c r="FQ258" s="3"/>
      <c r="FR258" s="3"/>
      <c r="FS258" s="3"/>
      <c r="FT258" s="3"/>
      <c r="FU258" s="3"/>
      <c r="FV258" s="3"/>
      <c r="FW258" s="3"/>
      <c r="FX258" s="3"/>
      <c r="FY258" s="3"/>
      <c r="FZ258" s="3"/>
      <c r="GA258" s="3"/>
      <c r="GB258" s="3"/>
      <c r="GC258" s="3"/>
      <c r="GD258" s="3"/>
      <c r="GE258" s="3"/>
      <c r="GF258" s="3"/>
      <c r="GG258" s="3"/>
      <c r="GH258" s="3"/>
      <c r="GI258" s="3"/>
      <c r="GJ258" s="3"/>
      <c r="GK258" s="3"/>
      <c r="GL258" s="3"/>
      <c r="GM258" s="3"/>
      <c r="GN258" s="3"/>
      <c r="GO258" s="3"/>
      <c r="GP258" s="3"/>
      <c r="GQ258" s="3"/>
      <c r="GR258" s="3"/>
      <c r="GS258" s="3"/>
      <c r="GT258" s="3"/>
      <c r="GU258" s="3"/>
      <c r="GV258" s="3"/>
      <c r="GW258" s="3"/>
      <c r="GX258" s="3">
        <v>0</v>
      </c>
    </row>
    <row r="260" spans="1:206" x14ac:dyDescent="0.2">
      <c r="A260" s="4">
        <v>50</v>
      </c>
      <c r="B260" s="4">
        <v>0</v>
      </c>
      <c r="C260" s="4">
        <v>0</v>
      </c>
      <c r="D260" s="4">
        <v>1</v>
      </c>
      <c r="E260" s="4">
        <v>201</v>
      </c>
      <c r="F260" s="4">
        <f>ROUND(Source!O258,O260)</f>
        <v>159028.12</v>
      </c>
      <c r="G260" s="4" t="s">
        <v>128</v>
      </c>
      <c r="H260" s="4" t="s">
        <v>129</v>
      </c>
      <c r="I260" s="4"/>
      <c r="J260" s="4"/>
      <c r="K260" s="4">
        <v>201</v>
      </c>
      <c r="L260" s="4">
        <v>1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/>
    </row>
    <row r="261" spans="1:206" x14ac:dyDescent="0.2">
      <c r="A261" s="4">
        <v>50</v>
      </c>
      <c r="B261" s="4">
        <v>0</v>
      </c>
      <c r="C261" s="4">
        <v>0</v>
      </c>
      <c r="D261" s="4">
        <v>1</v>
      </c>
      <c r="E261" s="4">
        <v>202</v>
      </c>
      <c r="F261" s="4">
        <f>ROUND(Source!P258,O261)</f>
        <v>114158.48</v>
      </c>
      <c r="G261" s="4" t="s">
        <v>130</v>
      </c>
      <c r="H261" s="4" t="s">
        <v>131</v>
      </c>
      <c r="I261" s="4"/>
      <c r="J261" s="4"/>
      <c r="K261" s="4">
        <v>202</v>
      </c>
      <c r="L261" s="4">
        <v>2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/>
    </row>
    <row r="262" spans="1:206" x14ac:dyDescent="0.2">
      <c r="A262" s="4">
        <v>50</v>
      </c>
      <c r="B262" s="4">
        <v>0</v>
      </c>
      <c r="C262" s="4">
        <v>0</v>
      </c>
      <c r="D262" s="4">
        <v>1</v>
      </c>
      <c r="E262" s="4">
        <v>30781752</v>
      </c>
      <c r="F262" s="4">
        <f>ROUND(Source!AO258,O262)</f>
        <v>8730.1299999999992</v>
      </c>
      <c r="G262" s="4" t="s">
        <v>132</v>
      </c>
      <c r="H262" s="4" t="s">
        <v>133</v>
      </c>
      <c r="I262" s="4"/>
      <c r="J262" s="4"/>
      <c r="K262" s="4">
        <v>222</v>
      </c>
      <c r="L262" s="4">
        <v>3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/>
    </row>
    <row r="263" spans="1:206" x14ac:dyDescent="0.2">
      <c r="A263" s="4">
        <v>50</v>
      </c>
      <c r="B263" s="4">
        <v>0</v>
      </c>
      <c r="C263" s="4">
        <v>0</v>
      </c>
      <c r="D263" s="4">
        <v>1</v>
      </c>
      <c r="E263" s="4">
        <v>225</v>
      </c>
      <c r="F263" s="4">
        <f>ROUND(Source!AV258,O263)</f>
        <v>105428.35</v>
      </c>
      <c r="G263" s="4" t="s">
        <v>134</v>
      </c>
      <c r="H263" s="4" t="s">
        <v>135</v>
      </c>
      <c r="I263" s="4"/>
      <c r="J263" s="4"/>
      <c r="K263" s="4">
        <v>225</v>
      </c>
      <c r="L263" s="4">
        <v>4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/>
    </row>
    <row r="264" spans="1:206" x14ac:dyDescent="0.2">
      <c r="A264" s="4">
        <v>50</v>
      </c>
      <c r="B264" s="4">
        <v>0</v>
      </c>
      <c r="C264" s="4">
        <v>0</v>
      </c>
      <c r="D264" s="4">
        <v>1</v>
      </c>
      <c r="E264" s="4">
        <v>226</v>
      </c>
      <c r="F264" s="4">
        <f>ROUND(Source!AW258,O264)</f>
        <v>114158.48</v>
      </c>
      <c r="G264" s="4" t="s">
        <v>136</v>
      </c>
      <c r="H264" s="4" t="s">
        <v>137</v>
      </c>
      <c r="I264" s="4"/>
      <c r="J264" s="4"/>
      <c r="K264" s="4">
        <v>226</v>
      </c>
      <c r="L264" s="4">
        <v>5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/>
    </row>
    <row r="265" spans="1:206" x14ac:dyDescent="0.2">
      <c r="A265" s="4">
        <v>50</v>
      </c>
      <c r="B265" s="4">
        <v>0</v>
      </c>
      <c r="C265" s="4">
        <v>0</v>
      </c>
      <c r="D265" s="4">
        <v>1</v>
      </c>
      <c r="E265" s="4">
        <v>227</v>
      </c>
      <c r="F265" s="4">
        <f>ROUND(Source!AX258,O265)</f>
        <v>8730.1299999999992</v>
      </c>
      <c r="G265" s="4" t="s">
        <v>138</v>
      </c>
      <c r="H265" s="4" t="s">
        <v>139</v>
      </c>
      <c r="I265" s="4"/>
      <c r="J265" s="4"/>
      <c r="K265" s="4">
        <v>227</v>
      </c>
      <c r="L265" s="4">
        <v>6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/>
    </row>
    <row r="266" spans="1:206" x14ac:dyDescent="0.2">
      <c r="A266" s="4">
        <v>50</v>
      </c>
      <c r="B266" s="4">
        <v>0</v>
      </c>
      <c r="C266" s="4">
        <v>0</v>
      </c>
      <c r="D266" s="4">
        <v>1</v>
      </c>
      <c r="E266" s="4">
        <v>228</v>
      </c>
      <c r="F266" s="4">
        <f>ROUND(Source!AY258,O266)</f>
        <v>105428.35</v>
      </c>
      <c r="G266" s="4" t="s">
        <v>140</v>
      </c>
      <c r="H266" s="4" t="s">
        <v>141</v>
      </c>
      <c r="I266" s="4"/>
      <c r="J266" s="4"/>
      <c r="K266" s="4">
        <v>228</v>
      </c>
      <c r="L266" s="4">
        <v>7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/>
    </row>
    <row r="267" spans="1:206" x14ac:dyDescent="0.2">
      <c r="A267" s="4">
        <v>50</v>
      </c>
      <c r="B267" s="4">
        <v>0</v>
      </c>
      <c r="C267" s="4">
        <v>0</v>
      </c>
      <c r="D267" s="4">
        <v>1</v>
      </c>
      <c r="E267" s="4">
        <v>216</v>
      </c>
      <c r="F267" s="4">
        <f>ROUND(Source!AP258,O267)</f>
        <v>0</v>
      </c>
      <c r="G267" s="4" t="s">
        <v>142</v>
      </c>
      <c r="H267" s="4" t="s">
        <v>143</v>
      </c>
      <c r="I267" s="4"/>
      <c r="J267" s="4"/>
      <c r="K267" s="4">
        <v>216</v>
      </c>
      <c r="L267" s="4">
        <v>8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/>
    </row>
    <row r="268" spans="1:206" x14ac:dyDescent="0.2">
      <c r="A268" s="4">
        <v>50</v>
      </c>
      <c r="B268" s="4">
        <v>0</v>
      </c>
      <c r="C268" s="4">
        <v>0</v>
      </c>
      <c r="D268" s="4">
        <v>1</v>
      </c>
      <c r="E268" s="4">
        <v>223</v>
      </c>
      <c r="F268" s="4">
        <f>ROUND(Source!AQ258,O268)</f>
        <v>0</v>
      </c>
      <c r="G268" s="4" t="s">
        <v>144</v>
      </c>
      <c r="H268" s="4" t="s">
        <v>145</v>
      </c>
      <c r="I268" s="4"/>
      <c r="J268" s="4"/>
      <c r="K268" s="4">
        <v>223</v>
      </c>
      <c r="L268" s="4">
        <v>9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/>
    </row>
    <row r="269" spans="1:206" x14ac:dyDescent="0.2">
      <c r="A269" s="4">
        <v>50</v>
      </c>
      <c r="B269" s="4">
        <v>0</v>
      </c>
      <c r="C269" s="4">
        <v>0</v>
      </c>
      <c r="D269" s="4">
        <v>1</v>
      </c>
      <c r="E269" s="4">
        <v>229</v>
      </c>
      <c r="F269" s="4">
        <f>ROUND(Source!AZ258,O269)</f>
        <v>0</v>
      </c>
      <c r="G269" s="4" t="s">
        <v>146</v>
      </c>
      <c r="H269" s="4" t="s">
        <v>147</v>
      </c>
      <c r="I269" s="4"/>
      <c r="J269" s="4"/>
      <c r="K269" s="4">
        <v>229</v>
      </c>
      <c r="L269" s="4">
        <v>10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/>
    </row>
    <row r="270" spans="1:206" x14ac:dyDescent="0.2">
      <c r="A270" s="4">
        <v>50</v>
      </c>
      <c r="B270" s="4">
        <v>0</v>
      </c>
      <c r="C270" s="4">
        <v>0</v>
      </c>
      <c r="D270" s="4">
        <v>1</v>
      </c>
      <c r="E270" s="4">
        <v>203</v>
      </c>
      <c r="F270" s="4">
        <f>ROUND(Source!Q258,O270)</f>
        <v>817.05</v>
      </c>
      <c r="G270" s="4" t="s">
        <v>148</v>
      </c>
      <c r="H270" s="4" t="s">
        <v>149</v>
      </c>
      <c r="I270" s="4"/>
      <c r="J270" s="4"/>
      <c r="K270" s="4">
        <v>203</v>
      </c>
      <c r="L270" s="4">
        <v>11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/>
    </row>
    <row r="271" spans="1:206" x14ac:dyDescent="0.2">
      <c r="A271" s="4">
        <v>50</v>
      </c>
      <c r="B271" s="4">
        <v>0</v>
      </c>
      <c r="C271" s="4">
        <v>0</v>
      </c>
      <c r="D271" s="4">
        <v>1</v>
      </c>
      <c r="E271" s="4">
        <v>231</v>
      </c>
      <c r="F271" s="4">
        <f>ROUND(Source!BB258,O271)</f>
        <v>0</v>
      </c>
      <c r="G271" s="4" t="s">
        <v>150</v>
      </c>
      <c r="H271" s="4" t="s">
        <v>151</v>
      </c>
      <c r="I271" s="4"/>
      <c r="J271" s="4"/>
      <c r="K271" s="4">
        <v>231</v>
      </c>
      <c r="L271" s="4">
        <v>12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/>
    </row>
    <row r="272" spans="1:206" x14ac:dyDescent="0.2">
      <c r="A272" s="4">
        <v>50</v>
      </c>
      <c r="B272" s="4">
        <v>0</v>
      </c>
      <c r="C272" s="4">
        <v>0</v>
      </c>
      <c r="D272" s="4">
        <v>1</v>
      </c>
      <c r="E272" s="4">
        <v>204</v>
      </c>
      <c r="F272" s="4">
        <f>ROUND(Source!R258,O272)</f>
        <v>239.15</v>
      </c>
      <c r="G272" s="4" t="s">
        <v>152</v>
      </c>
      <c r="H272" s="4" t="s">
        <v>153</v>
      </c>
      <c r="I272" s="4"/>
      <c r="J272" s="4"/>
      <c r="K272" s="4">
        <v>204</v>
      </c>
      <c r="L272" s="4">
        <v>13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/>
    </row>
    <row r="273" spans="1:23" x14ac:dyDescent="0.2">
      <c r="A273" s="4">
        <v>50</v>
      </c>
      <c r="B273" s="4">
        <v>0</v>
      </c>
      <c r="C273" s="4">
        <v>0</v>
      </c>
      <c r="D273" s="4">
        <v>1</v>
      </c>
      <c r="E273" s="4">
        <v>205</v>
      </c>
      <c r="F273" s="4">
        <f>ROUND(Source!S258,O273)</f>
        <v>44052.59</v>
      </c>
      <c r="G273" s="4" t="s">
        <v>154</v>
      </c>
      <c r="H273" s="4" t="s">
        <v>155</v>
      </c>
      <c r="I273" s="4"/>
      <c r="J273" s="4"/>
      <c r="K273" s="4">
        <v>205</v>
      </c>
      <c r="L273" s="4">
        <v>14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/>
    </row>
    <row r="274" spans="1:23" x14ac:dyDescent="0.2">
      <c r="A274" s="4">
        <v>50</v>
      </c>
      <c r="B274" s="4">
        <v>0</v>
      </c>
      <c r="C274" s="4">
        <v>0</v>
      </c>
      <c r="D274" s="4">
        <v>1</v>
      </c>
      <c r="E274" s="4">
        <v>232</v>
      </c>
      <c r="F274" s="4">
        <f>ROUND(Source!BC258,O274)</f>
        <v>0</v>
      </c>
      <c r="G274" s="4" t="s">
        <v>156</v>
      </c>
      <c r="H274" s="4" t="s">
        <v>157</v>
      </c>
      <c r="I274" s="4"/>
      <c r="J274" s="4"/>
      <c r="K274" s="4">
        <v>232</v>
      </c>
      <c r="L274" s="4">
        <v>15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/>
    </row>
    <row r="275" spans="1:23" x14ac:dyDescent="0.2">
      <c r="A275" s="4">
        <v>50</v>
      </c>
      <c r="B275" s="4">
        <v>0</v>
      </c>
      <c r="C275" s="4">
        <v>0</v>
      </c>
      <c r="D275" s="4">
        <v>1</v>
      </c>
      <c r="E275" s="4">
        <v>214</v>
      </c>
      <c r="F275" s="4">
        <f>ROUND(Source!AS258,O275)</f>
        <v>33267.96</v>
      </c>
      <c r="G275" s="4" t="s">
        <v>158</v>
      </c>
      <c r="H275" s="4" t="s">
        <v>159</v>
      </c>
      <c r="I275" s="4"/>
      <c r="J275" s="4"/>
      <c r="K275" s="4">
        <v>214</v>
      </c>
      <c r="L275" s="4">
        <v>16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/>
    </row>
    <row r="276" spans="1:23" x14ac:dyDescent="0.2">
      <c r="A276" s="4">
        <v>50</v>
      </c>
      <c r="B276" s="4">
        <v>0</v>
      </c>
      <c r="C276" s="4">
        <v>0</v>
      </c>
      <c r="D276" s="4">
        <v>1</v>
      </c>
      <c r="E276" s="4">
        <v>215</v>
      </c>
      <c r="F276" s="4">
        <f>ROUND(Source!AT258,O276)</f>
        <v>158735.97</v>
      </c>
      <c r="G276" s="4" t="s">
        <v>160</v>
      </c>
      <c r="H276" s="4" t="s">
        <v>161</v>
      </c>
      <c r="I276" s="4"/>
      <c r="J276" s="4"/>
      <c r="K276" s="4">
        <v>215</v>
      </c>
      <c r="L276" s="4">
        <v>17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/>
    </row>
    <row r="277" spans="1:23" x14ac:dyDescent="0.2">
      <c r="A277" s="4">
        <v>50</v>
      </c>
      <c r="B277" s="4">
        <v>0</v>
      </c>
      <c r="C277" s="4">
        <v>0</v>
      </c>
      <c r="D277" s="4">
        <v>1</v>
      </c>
      <c r="E277" s="4">
        <v>217</v>
      </c>
      <c r="F277" s="4">
        <f>ROUND(Source!AU258,O277)</f>
        <v>19971.669999999998</v>
      </c>
      <c r="G277" s="4" t="s">
        <v>162</v>
      </c>
      <c r="H277" s="4" t="s">
        <v>163</v>
      </c>
      <c r="I277" s="4"/>
      <c r="J277" s="4"/>
      <c r="K277" s="4">
        <v>217</v>
      </c>
      <c r="L277" s="4">
        <v>18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/>
    </row>
    <row r="278" spans="1:23" x14ac:dyDescent="0.2">
      <c r="A278" s="4">
        <v>50</v>
      </c>
      <c r="B278" s="4">
        <v>0</v>
      </c>
      <c r="C278" s="4">
        <v>0</v>
      </c>
      <c r="D278" s="4">
        <v>1</v>
      </c>
      <c r="E278" s="4">
        <v>230</v>
      </c>
      <c r="F278" s="4">
        <f>ROUND(Source!BA258,O278)</f>
        <v>0</v>
      </c>
      <c r="G278" s="4" t="s">
        <v>164</v>
      </c>
      <c r="H278" s="4" t="s">
        <v>165</v>
      </c>
      <c r="I278" s="4"/>
      <c r="J278" s="4"/>
      <c r="K278" s="4">
        <v>230</v>
      </c>
      <c r="L278" s="4">
        <v>19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/>
    </row>
    <row r="279" spans="1:23" x14ac:dyDescent="0.2">
      <c r="A279" s="4">
        <v>50</v>
      </c>
      <c r="B279" s="4">
        <v>0</v>
      </c>
      <c r="C279" s="4">
        <v>0</v>
      </c>
      <c r="D279" s="4">
        <v>1</v>
      </c>
      <c r="E279" s="4">
        <v>206</v>
      </c>
      <c r="F279" s="4">
        <f>ROUND(Source!T258,O279)</f>
        <v>0</v>
      </c>
      <c r="G279" s="4" t="s">
        <v>166</v>
      </c>
      <c r="H279" s="4" t="s">
        <v>167</v>
      </c>
      <c r="I279" s="4"/>
      <c r="J279" s="4"/>
      <c r="K279" s="4">
        <v>206</v>
      </c>
      <c r="L279" s="4">
        <v>20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/>
    </row>
    <row r="280" spans="1:23" x14ac:dyDescent="0.2">
      <c r="A280" s="4">
        <v>50</v>
      </c>
      <c r="B280" s="4">
        <v>0</v>
      </c>
      <c r="C280" s="4">
        <v>0</v>
      </c>
      <c r="D280" s="4">
        <v>1</v>
      </c>
      <c r="E280" s="4">
        <v>207</v>
      </c>
      <c r="F280" s="4">
        <f>Source!U258</f>
        <v>183.02568000000002</v>
      </c>
      <c r="G280" s="4" t="s">
        <v>168</v>
      </c>
      <c r="H280" s="4" t="s">
        <v>169</v>
      </c>
      <c r="I280" s="4"/>
      <c r="J280" s="4"/>
      <c r="K280" s="4">
        <v>207</v>
      </c>
      <c r="L280" s="4">
        <v>21</v>
      </c>
      <c r="M280" s="4">
        <v>3</v>
      </c>
      <c r="N280" s="4" t="s">
        <v>3</v>
      </c>
      <c r="O280" s="4">
        <v>-1</v>
      </c>
      <c r="P280" s="4"/>
      <c r="Q280" s="4"/>
      <c r="R280" s="4"/>
      <c r="S280" s="4"/>
      <c r="T280" s="4"/>
      <c r="U280" s="4"/>
      <c r="V280" s="4"/>
      <c r="W280" s="4"/>
    </row>
    <row r="281" spans="1:23" x14ac:dyDescent="0.2">
      <c r="A281" s="4">
        <v>50</v>
      </c>
      <c r="B281" s="4">
        <v>0</v>
      </c>
      <c r="C281" s="4">
        <v>0</v>
      </c>
      <c r="D281" s="4">
        <v>1</v>
      </c>
      <c r="E281" s="4">
        <v>208</v>
      </c>
      <c r="F281" s="4">
        <f>Source!V258</f>
        <v>0.76433000000000006</v>
      </c>
      <c r="G281" s="4" t="s">
        <v>170</v>
      </c>
      <c r="H281" s="4" t="s">
        <v>171</v>
      </c>
      <c r="I281" s="4"/>
      <c r="J281" s="4"/>
      <c r="K281" s="4">
        <v>208</v>
      </c>
      <c r="L281" s="4">
        <v>22</v>
      </c>
      <c r="M281" s="4">
        <v>3</v>
      </c>
      <c r="N281" s="4" t="s">
        <v>3</v>
      </c>
      <c r="O281" s="4">
        <v>-1</v>
      </c>
      <c r="P281" s="4"/>
      <c r="Q281" s="4"/>
      <c r="R281" s="4"/>
      <c r="S281" s="4"/>
      <c r="T281" s="4"/>
      <c r="U281" s="4"/>
      <c r="V281" s="4"/>
      <c r="W281" s="4"/>
    </row>
    <row r="282" spans="1:23" x14ac:dyDescent="0.2">
      <c r="A282" s="4">
        <v>50</v>
      </c>
      <c r="B282" s="4">
        <v>0</v>
      </c>
      <c r="C282" s="4">
        <v>0</v>
      </c>
      <c r="D282" s="4">
        <v>1</v>
      </c>
      <c r="E282" s="4">
        <v>209</v>
      </c>
      <c r="F282" s="4">
        <f>ROUND(Source!W258,O282)</f>
        <v>0</v>
      </c>
      <c r="G282" s="4" t="s">
        <v>172</v>
      </c>
      <c r="H282" s="4" t="s">
        <v>173</v>
      </c>
      <c r="I282" s="4"/>
      <c r="J282" s="4"/>
      <c r="K282" s="4">
        <v>209</v>
      </c>
      <c r="L282" s="4">
        <v>23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/>
    </row>
    <row r="283" spans="1:23" x14ac:dyDescent="0.2">
      <c r="A283" s="4">
        <v>50</v>
      </c>
      <c r="B283" s="4">
        <v>0</v>
      </c>
      <c r="C283" s="4">
        <v>0</v>
      </c>
      <c r="D283" s="4">
        <v>1</v>
      </c>
      <c r="E283" s="4">
        <v>210</v>
      </c>
      <c r="F283" s="4">
        <f>ROUND(Source!X258,O283)</f>
        <v>32636.11</v>
      </c>
      <c r="G283" s="4" t="s">
        <v>174</v>
      </c>
      <c r="H283" s="4" t="s">
        <v>175</v>
      </c>
      <c r="I283" s="4"/>
      <c r="J283" s="4"/>
      <c r="K283" s="4">
        <v>210</v>
      </c>
      <c r="L283" s="4">
        <v>24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/>
    </row>
    <row r="284" spans="1:23" x14ac:dyDescent="0.2">
      <c r="A284" s="4">
        <v>50</v>
      </c>
      <c r="B284" s="4">
        <v>0</v>
      </c>
      <c r="C284" s="4">
        <v>0</v>
      </c>
      <c r="D284" s="4">
        <v>1</v>
      </c>
      <c r="E284" s="4">
        <v>211</v>
      </c>
      <c r="F284" s="4">
        <f>ROUND(Source!Y258,O284)</f>
        <v>20311.37</v>
      </c>
      <c r="G284" s="4" t="s">
        <v>176</v>
      </c>
      <c r="H284" s="4" t="s">
        <v>177</v>
      </c>
      <c r="I284" s="4"/>
      <c r="J284" s="4"/>
      <c r="K284" s="4">
        <v>211</v>
      </c>
      <c r="L284" s="4">
        <v>25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/>
    </row>
    <row r="285" spans="1:23" x14ac:dyDescent="0.2">
      <c r="A285" s="4">
        <v>50</v>
      </c>
      <c r="B285" s="4">
        <v>0</v>
      </c>
      <c r="C285" s="4">
        <v>0</v>
      </c>
      <c r="D285" s="4">
        <v>1</v>
      </c>
      <c r="E285" s="4">
        <v>224</v>
      </c>
      <c r="F285" s="4">
        <f>ROUND(Source!AR258,O285)</f>
        <v>211975.6</v>
      </c>
      <c r="G285" s="4" t="s">
        <v>178</v>
      </c>
      <c r="H285" s="4" t="s">
        <v>179</v>
      </c>
      <c r="I285" s="4"/>
      <c r="J285" s="4"/>
      <c r="K285" s="4">
        <v>224</v>
      </c>
      <c r="L285" s="4">
        <v>26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/>
    </row>
    <row r="288" spans="1:23" x14ac:dyDescent="0.2">
      <c r="A288">
        <v>70</v>
      </c>
      <c r="B288">
        <v>1</v>
      </c>
      <c r="D288">
        <v>1</v>
      </c>
      <c r="E288" t="s">
        <v>223</v>
      </c>
      <c r="F288" t="s">
        <v>224</v>
      </c>
      <c r="G288">
        <v>1</v>
      </c>
      <c r="H288">
        <v>0</v>
      </c>
      <c r="I288" t="s">
        <v>3</v>
      </c>
      <c r="J288">
        <v>1</v>
      </c>
      <c r="K288">
        <v>0</v>
      </c>
      <c r="L288" t="s">
        <v>3</v>
      </c>
      <c r="M288" t="s">
        <v>3</v>
      </c>
      <c r="N288">
        <v>0</v>
      </c>
    </row>
    <row r="289" spans="1:14" x14ac:dyDescent="0.2">
      <c r="A289">
        <v>70</v>
      </c>
      <c r="B289">
        <v>1</v>
      </c>
      <c r="D289">
        <v>2</v>
      </c>
      <c r="E289" t="s">
        <v>225</v>
      </c>
      <c r="F289" t="s">
        <v>226</v>
      </c>
      <c r="G289">
        <v>0</v>
      </c>
      <c r="H289">
        <v>0</v>
      </c>
      <c r="I289" t="s">
        <v>3</v>
      </c>
      <c r="J289">
        <v>1</v>
      </c>
      <c r="K289">
        <v>0</v>
      </c>
      <c r="L289" t="s">
        <v>3</v>
      </c>
      <c r="M289" t="s">
        <v>3</v>
      </c>
      <c r="N289">
        <v>0</v>
      </c>
    </row>
    <row r="290" spans="1:14" x14ac:dyDescent="0.2">
      <c r="A290">
        <v>70</v>
      </c>
      <c r="B290">
        <v>1</v>
      </c>
      <c r="D290">
        <v>3</v>
      </c>
      <c r="E290" t="s">
        <v>227</v>
      </c>
      <c r="F290" t="s">
        <v>228</v>
      </c>
      <c r="G290">
        <v>0</v>
      </c>
      <c r="H290">
        <v>0</v>
      </c>
      <c r="I290" t="s">
        <v>3</v>
      </c>
      <c r="J290">
        <v>1</v>
      </c>
      <c r="K290">
        <v>0</v>
      </c>
      <c r="L290" t="s">
        <v>3</v>
      </c>
      <c r="M290" t="s">
        <v>3</v>
      </c>
      <c r="N290">
        <v>0</v>
      </c>
    </row>
    <row r="291" spans="1:14" x14ac:dyDescent="0.2">
      <c r="A291">
        <v>70</v>
      </c>
      <c r="B291">
        <v>1</v>
      </c>
      <c r="D291">
        <v>4</v>
      </c>
      <c r="E291" t="s">
        <v>229</v>
      </c>
      <c r="F291" t="s">
        <v>230</v>
      </c>
      <c r="G291">
        <v>0</v>
      </c>
      <c r="H291">
        <v>0</v>
      </c>
      <c r="I291" t="s">
        <v>231</v>
      </c>
      <c r="J291">
        <v>0</v>
      </c>
      <c r="K291">
        <v>0</v>
      </c>
      <c r="L291" t="s">
        <v>3</v>
      </c>
      <c r="M291" t="s">
        <v>3</v>
      </c>
      <c r="N291">
        <v>0</v>
      </c>
    </row>
    <row r="292" spans="1:14" x14ac:dyDescent="0.2">
      <c r="A292">
        <v>70</v>
      </c>
      <c r="B292">
        <v>1</v>
      </c>
      <c r="D292">
        <v>5</v>
      </c>
      <c r="E292" t="s">
        <v>232</v>
      </c>
      <c r="F292" t="s">
        <v>233</v>
      </c>
      <c r="G292">
        <v>0</v>
      </c>
      <c r="H292">
        <v>0</v>
      </c>
      <c r="I292" t="s">
        <v>234</v>
      </c>
      <c r="J292">
        <v>0</v>
      </c>
      <c r="K292">
        <v>0</v>
      </c>
      <c r="L292" t="s">
        <v>3</v>
      </c>
      <c r="M292" t="s">
        <v>3</v>
      </c>
      <c r="N292">
        <v>0</v>
      </c>
    </row>
    <row r="293" spans="1:14" x14ac:dyDescent="0.2">
      <c r="A293">
        <v>70</v>
      </c>
      <c r="B293">
        <v>1</v>
      </c>
      <c r="D293">
        <v>6</v>
      </c>
      <c r="E293" t="s">
        <v>235</v>
      </c>
      <c r="F293" t="s">
        <v>236</v>
      </c>
      <c r="G293">
        <v>0</v>
      </c>
      <c r="H293">
        <v>0</v>
      </c>
      <c r="I293" t="s">
        <v>237</v>
      </c>
      <c r="J293">
        <v>0</v>
      </c>
      <c r="K293">
        <v>0</v>
      </c>
      <c r="L293" t="s">
        <v>3</v>
      </c>
      <c r="M293" t="s">
        <v>3</v>
      </c>
      <c r="N293">
        <v>0</v>
      </c>
    </row>
    <row r="294" spans="1:14" x14ac:dyDescent="0.2">
      <c r="A294">
        <v>70</v>
      </c>
      <c r="B294">
        <v>1</v>
      </c>
      <c r="D294">
        <v>7</v>
      </c>
      <c r="E294" t="s">
        <v>238</v>
      </c>
      <c r="F294" t="s">
        <v>239</v>
      </c>
      <c r="G294">
        <v>0</v>
      </c>
      <c r="H294">
        <v>0</v>
      </c>
      <c r="I294" t="s">
        <v>3</v>
      </c>
      <c r="J294">
        <v>0</v>
      </c>
      <c r="K294">
        <v>0</v>
      </c>
      <c r="L294" t="s">
        <v>3</v>
      </c>
      <c r="M294" t="s">
        <v>3</v>
      </c>
      <c r="N294">
        <v>0</v>
      </c>
    </row>
    <row r="295" spans="1:14" x14ac:dyDescent="0.2">
      <c r="A295">
        <v>70</v>
      </c>
      <c r="B295">
        <v>1</v>
      </c>
      <c r="D295">
        <v>8</v>
      </c>
      <c r="E295" t="s">
        <v>240</v>
      </c>
      <c r="F295" t="s">
        <v>241</v>
      </c>
      <c r="G295">
        <v>0</v>
      </c>
      <c r="H295">
        <v>0</v>
      </c>
      <c r="I295" t="s">
        <v>242</v>
      </c>
      <c r="J295">
        <v>0</v>
      </c>
      <c r="K295">
        <v>0</v>
      </c>
      <c r="L295" t="s">
        <v>3</v>
      </c>
      <c r="M295" t="s">
        <v>3</v>
      </c>
      <c r="N295">
        <v>0</v>
      </c>
    </row>
    <row r="296" spans="1:14" x14ac:dyDescent="0.2">
      <c r="A296">
        <v>70</v>
      </c>
      <c r="B296">
        <v>1</v>
      </c>
      <c r="D296">
        <v>9</v>
      </c>
      <c r="E296" t="s">
        <v>243</v>
      </c>
      <c r="F296" t="s">
        <v>244</v>
      </c>
      <c r="G296">
        <v>0</v>
      </c>
      <c r="H296">
        <v>0</v>
      </c>
      <c r="I296" t="s">
        <v>245</v>
      </c>
      <c r="J296">
        <v>0</v>
      </c>
      <c r="K296">
        <v>0</v>
      </c>
      <c r="L296" t="s">
        <v>3</v>
      </c>
      <c r="M296" t="s">
        <v>3</v>
      </c>
      <c r="N296">
        <v>0</v>
      </c>
    </row>
    <row r="297" spans="1:14" x14ac:dyDescent="0.2">
      <c r="A297">
        <v>70</v>
      </c>
      <c r="B297">
        <v>1</v>
      </c>
      <c r="D297">
        <v>10</v>
      </c>
      <c r="E297" t="s">
        <v>246</v>
      </c>
      <c r="F297" t="s">
        <v>247</v>
      </c>
      <c r="G297">
        <v>0</v>
      </c>
      <c r="H297">
        <v>0</v>
      </c>
      <c r="I297" t="s">
        <v>248</v>
      </c>
      <c r="J297">
        <v>0</v>
      </c>
      <c r="K297">
        <v>0</v>
      </c>
      <c r="L297" t="s">
        <v>3</v>
      </c>
      <c r="M297" t="s">
        <v>3</v>
      </c>
      <c r="N297">
        <v>0</v>
      </c>
    </row>
    <row r="298" spans="1:14" x14ac:dyDescent="0.2">
      <c r="A298">
        <v>70</v>
      </c>
      <c r="B298">
        <v>1</v>
      </c>
      <c r="D298">
        <v>11</v>
      </c>
      <c r="E298" t="s">
        <v>249</v>
      </c>
      <c r="F298" t="s">
        <v>250</v>
      </c>
      <c r="G298">
        <v>0</v>
      </c>
      <c r="H298">
        <v>0</v>
      </c>
      <c r="I298" t="s">
        <v>251</v>
      </c>
      <c r="J298">
        <v>0</v>
      </c>
      <c r="K298">
        <v>0</v>
      </c>
      <c r="L298" t="s">
        <v>3</v>
      </c>
      <c r="M298" t="s">
        <v>3</v>
      </c>
      <c r="N298">
        <v>0</v>
      </c>
    </row>
    <row r="299" spans="1:14" x14ac:dyDescent="0.2">
      <c r="A299">
        <v>70</v>
      </c>
      <c r="B299">
        <v>1</v>
      </c>
      <c r="D299">
        <v>12</v>
      </c>
      <c r="E299" t="s">
        <v>252</v>
      </c>
      <c r="F299" t="s">
        <v>253</v>
      </c>
      <c r="G299">
        <v>0</v>
      </c>
      <c r="H299">
        <v>0</v>
      </c>
      <c r="I299" t="s">
        <v>3</v>
      </c>
      <c r="J299">
        <v>0</v>
      </c>
      <c r="K299">
        <v>0</v>
      </c>
      <c r="L299" t="s">
        <v>3</v>
      </c>
      <c r="M299" t="s">
        <v>3</v>
      </c>
      <c r="N299">
        <v>0</v>
      </c>
    </row>
    <row r="300" spans="1:14" x14ac:dyDescent="0.2">
      <c r="A300">
        <v>70</v>
      </c>
      <c r="B300">
        <v>1</v>
      </c>
      <c r="D300">
        <v>1</v>
      </c>
      <c r="E300" t="s">
        <v>254</v>
      </c>
      <c r="F300" t="s">
        <v>255</v>
      </c>
      <c r="G300">
        <v>0.9</v>
      </c>
      <c r="H300">
        <v>1</v>
      </c>
      <c r="I300" t="s">
        <v>256</v>
      </c>
      <c r="J300">
        <v>0</v>
      </c>
      <c r="K300">
        <v>0</v>
      </c>
      <c r="L300" t="s">
        <v>3</v>
      </c>
      <c r="M300" t="s">
        <v>3</v>
      </c>
      <c r="N300">
        <v>0</v>
      </c>
    </row>
    <row r="301" spans="1:14" x14ac:dyDescent="0.2">
      <c r="A301">
        <v>70</v>
      </c>
      <c r="B301">
        <v>1</v>
      </c>
      <c r="D301">
        <v>2</v>
      </c>
      <c r="E301" t="s">
        <v>257</v>
      </c>
      <c r="F301" t="s">
        <v>258</v>
      </c>
      <c r="G301">
        <v>0.85</v>
      </c>
      <c r="H301">
        <v>1</v>
      </c>
      <c r="I301" t="s">
        <v>259</v>
      </c>
      <c r="J301">
        <v>0</v>
      </c>
      <c r="K301">
        <v>0</v>
      </c>
      <c r="L301" t="s">
        <v>3</v>
      </c>
      <c r="M301" t="s">
        <v>3</v>
      </c>
      <c r="N301">
        <v>0</v>
      </c>
    </row>
    <row r="302" spans="1:14" x14ac:dyDescent="0.2">
      <c r="A302">
        <v>70</v>
      </c>
      <c r="B302">
        <v>1</v>
      </c>
      <c r="D302">
        <v>3</v>
      </c>
      <c r="E302" t="s">
        <v>260</v>
      </c>
      <c r="F302" t="s">
        <v>261</v>
      </c>
      <c r="G302">
        <v>1</v>
      </c>
      <c r="H302">
        <v>0.85</v>
      </c>
      <c r="I302" t="s">
        <v>262</v>
      </c>
      <c r="J302">
        <v>0</v>
      </c>
      <c r="K302">
        <v>0</v>
      </c>
      <c r="L302" t="s">
        <v>3</v>
      </c>
      <c r="M302" t="s">
        <v>3</v>
      </c>
      <c r="N302">
        <v>0</v>
      </c>
    </row>
    <row r="303" spans="1:14" x14ac:dyDescent="0.2">
      <c r="A303">
        <v>70</v>
      </c>
      <c r="B303">
        <v>1</v>
      </c>
      <c r="D303">
        <v>4</v>
      </c>
      <c r="E303" t="s">
        <v>263</v>
      </c>
      <c r="F303" t="s">
        <v>264</v>
      </c>
      <c r="G303">
        <v>1</v>
      </c>
      <c r="H303">
        <v>0</v>
      </c>
      <c r="I303" t="s">
        <v>3</v>
      </c>
      <c r="J303">
        <v>0</v>
      </c>
      <c r="K303">
        <v>0</v>
      </c>
      <c r="L303" t="s">
        <v>3</v>
      </c>
      <c r="M303" t="s">
        <v>3</v>
      </c>
      <c r="N303">
        <v>0</v>
      </c>
    </row>
    <row r="304" spans="1:14" x14ac:dyDescent="0.2">
      <c r="A304">
        <v>70</v>
      </c>
      <c r="B304">
        <v>1</v>
      </c>
      <c r="D304">
        <v>5</v>
      </c>
      <c r="E304" t="s">
        <v>265</v>
      </c>
      <c r="F304" t="s">
        <v>266</v>
      </c>
      <c r="G304">
        <v>1</v>
      </c>
      <c r="H304">
        <v>0.8</v>
      </c>
      <c r="I304" t="s">
        <v>267</v>
      </c>
      <c r="J304">
        <v>0</v>
      </c>
      <c r="K304">
        <v>0</v>
      </c>
      <c r="L304" t="s">
        <v>3</v>
      </c>
      <c r="M304" t="s">
        <v>3</v>
      </c>
      <c r="N304">
        <v>0</v>
      </c>
    </row>
    <row r="305" spans="1:27" x14ac:dyDescent="0.2">
      <c r="A305">
        <v>70</v>
      </c>
      <c r="B305">
        <v>1</v>
      </c>
      <c r="D305">
        <v>6</v>
      </c>
      <c r="E305" t="s">
        <v>268</v>
      </c>
      <c r="F305" t="s">
        <v>269</v>
      </c>
      <c r="G305">
        <v>0.85</v>
      </c>
      <c r="H305">
        <v>0</v>
      </c>
      <c r="I305" t="s">
        <v>3</v>
      </c>
      <c r="J305">
        <v>0</v>
      </c>
      <c r="K305">
        <v>0</v>
      </c>
      <c r="L305" t="s">
        <v>3</v>
      </c>
      <c r="M305" t="s">
        <v>3</v>
      </c>
      <c r="N305">
        <v>0</v>
      </c>
    </row>
    <row r="306" spans="1:27" x14ac:dyDescent="0.2">
      <c r="A306">
        <v>70</v>
      </c>
      <c r="B306">
        <v>1</v>
      </c>
      <c r="D306">
        <v>7</v>
      </c>
      <c r="E306" t="s">
        <v>270</v>
      </c>
      <c r="F306" t="s">
        <v>271</v>
      </c>
      <c r="G306">
        <v>0.8</v>
      </c>
      <c r="H306">
        <v>0</v>
      </c>
      <c r="I306" t="s">
        <v>3</v>
      </c>
      <c r="J306">
        <v>0</v>
      </c>
      <c r="K306">
        <v>0</v>
      </c>
      <c r="L306" t="s">
        <v>3</v>
      </c>
      <c r="M306" t="s">
        <v>3</v>
      </c>
      <c r="N306">
        <v>0</v>
      </c>
    </row>
    <row r="307" spans="1:27" x14ac:dyDescent="0.2">
      <c r="A307">
        <v>70</v>
      </c>
      <c r="B307">
        <v>1</v>
      </c>
      <c r="D307">
        <v>8</v>
      </c>
      <c r="E307" t="s">
        <v>272</v>
      </c>
      <c r="F307" t="s">
        <v>273</v>
      </c>
      <c r="G307">
        <v>0.94</v>
      </c>
      <c r="H307">
        <v>0</v>
      </c>
      <c r="I307" t="s">
        <v>3</v>
      </c>
      <c r="J307">
        <v>0</v>
      </c>
      <c r="K307">
        <v>0</v>
      </c>
      <c r="L307" t="s">
        <v>3</v>
      </c>
      <c r="M307" t="s">
        <v>3</v>
      </c>
      <c r="N307">
        <v>0</v>
      </c>
    </row>
    <row r="308" spans="1:27" x14ac:dyDescent="0.2">
      <c r="A308">
        <v>70</v>
      </c>
      <c r="B308">
        <v>1</v>
      </c>
      <c r="D308">
        <v>9</v>
      </c>
      <c r="E308" t="s">
        <v>274</v>
      </c>
      <c r="F308" t="s">
        <v>275</v>
      </c>
      <c r="G308">
        <v>0.9</v>
      </c>
      <c r="H308">
        <v>0</v>
      </c>
      <c r="I308" t="s">
        <v>3</v>
      </c>
      <c r="J308">
        <v>0</v>
      </c>
      <c r="K308">
        <v>0</v>
      </c>
      <c r="L308" t="s">
        <v>3</v>
      </c>
      <c r="M308" t="s">
        <v>3</v>
      </c>
      <c r="N308">
        <v>0</v>
      </c>
    </row>
    <row r="309" spans="1:27" x14ac:dyDescent="0.2">
      <c r="A309">
        <v>70</v>
      </c>
      <c r="B309">
        <v>1</v>
      </c>
      <c r="D309">
        <v>10</v>
      </c>
      <c r="E309" t="s">
        <v>276</v>
      </c>
      <c r="F309" t="s">
        <v>277</v>
      </c>
      <c r="G309">
        <v>0.6</v>
      </c>
      <c r="H309">
        <v>0</v>
      </c>
      <c r="I309" t="s">
        <v>3</v>
      </c>
      <c r="J309">
        <v>0</v>
      </c>
      <c r="K309">
        <v>0</v>
      </c>
      <c r="L309" t="s">
        <v>3</v>
      </c>
      <c r="M309" t="s">
        <v>3</v>
      </c>
      <c r="N309">
        <v>0</v>
      </c>
    </row>
    <row r="310" spans="1:27" x14ac:dyDescent="0.2">
      <c r="A310">
        <v>70</v>
      </c>
      <c r="B310">
        <v>1</v>
      </c>
      <c r="D310">
        <v>11</v>
      </c>
      <c r="E310" t="s">
        <v>278</v>
      </c>
      <c r="F310" t="s">
        <v>279</v>
      </c>
      <c r="G310">
        <v>1.2</v>
      </c>
      <c r="H310">
        <v>0</v>
      </c>
      <c r="I310" t="s">
        <v>3</v>
      </c>
      <c r="J310">
        <v>0</v>
      </c>
      <c r="K310">
        <v>0</v>
      </c>
      <c r="L310" t="s">
        <v>3</v>
      </c>
      <c r="M310" t="s">
        <v>3</v>
      </c>
      <c r="N310">
        <v>0</v>
      </c>
    </row>
    <row r="311" spans="1:27" x14ac:dyDescent="0.2">
      <c r="A311">
        <v>70</v>
      </c>
      <c r="B311">
        <v>1</v>
      </c>
      <c r="D311">
        <v>12</v>
      </c>
      <c r="E311" t="s">
        <v>280</v>
      </c>
      <c r="F311" t="s">
        <v>281</v>
      </c>
      <c r="G311">
        <v>0</v>
      </c>
      <c r="H311">
        <v>0</v>
      </c>
      <c r="I311" t="s">
        <v>3</v>
      </c>
      <c r="J311">
        <v>0</v>
      </c>
      <c r="K311">
        <v>0</v>
      </c>
      <c r="L311" t="s">
        <v>3</v>
      </c>
      <c r="M311" t="s">
        <v>3</v>
      </c>
      <c r="N311">
        <v>0</v>
      </c>
    </row>
    <row r="312" spans="1:27" x14ac:dyDescent="0.2">
      <c r="A312">
        <v>70</v>
      </c>
      <c r="B312">
        <v>1</v>
      </c>
      <c r="D312">
        <v>13</v>
      </c>
      <c r="E312" t="s">
        <v>282</v>
      </c>
      <c r="F312" t="s">
        <v>283</v>
      </c>
      <c r="G312">
        <v>0.94</v>
      </c>
      <c r="H312">
        <v>0</v>
      </c>
      <c r="I312" t="s">
        <v>3</v>
      </c>
      <c r="J312">
        <v>0</v>
      </c>
      <c r="K312">
        <v>0</v>
      </c>
      <c r="L312" t="s">
        <v>3</v>
      </c>
      <c r="M312" t="s">
        <v>3</v>
      </c>
      <c r="N312">
        <v>0</v>
      </c>
    </row>
    <row r="314" spans="1:27" x14ac:dyDescent="0.2">
      <c r="A314">
        <v>-1</v>
      </c>
    </row>
    <row r="316" spans="1:27" x14ac:dyDescent="0.2">
      <c r="A316" s="3">
        <v>75</v>
      </c>
      <c r="B316" s="3" t="s">
        <v>284</v>
      </c>
      <c r="C316" s="3">
        <v>2017</v>
      </c>
      <c r="D316" s="3">
        <v>0</v>
      </c>
      <c r="E316" s="3">
        <v>12</v>
      </c>
      <c r="F316" s="3"/>
      <c r="G316" s="3">
        <v>0</v>
      </c>
      <c r="H316" s="3">
        <v>1</v>
      </c>
      <c r="I316" s="3">
        <v>0</v>
      </c>
      <c r="J316" s="3">
        <v>3</v>
      </c>
      <c r="K316" s="3">
        <v>0</v>
      </c>
      <c r="L316" s="3">
        <v>0</v>
      </c>
      <c r="M316" s="3">
        <v>0</v>
      </c>
      <c r="N316" s="3">
        <v>35007309</v>
      </c>
      <c r="O316" s="3">
        <v>1</v>
      </c>
    </row>
    <row r="317" spans="1:27" x14ac:dyDescent="0.2">
      <c r="A317" s="5">
        <v>1</v>
      </c>
      <c r="B317" s="5" t="s">
        <v>285</v>
      </c>
      <c r="C317" s="5" t="s">
        <v>286</v>
      </c>
      <c r="D317" s="5">
        <v>2017</v>
      </c>
      <c r="E317" s="5">
        <v>12</v>
      </c>
      <c r="F317" s="5">
        <v>1</v>
      </c>
      <c r="G317" s="5">
        <v>1</v>
      </c>
      <c r="H317" s="5">
        <v>0</v>
      </c>
      <c r="I317" s="5">
        <v>2</v>
      </c>
      <c r="J317" s="5">
        <v>1</v>
      </c>
      <c r="K317" s="5">
        <v>1</v>
      </c>
      <c r="L317" s="5">
        <v>1</v>
      </c>
      <c r="M317" s="5">
        <v>1</v>
      </c>
      <c r="N317" s="5">
        <v>1</v>
      </c>
      <c r="O317" s="5">
        <v>1</v>
      </c>
      <c r="P317" s="5">
        <v>1</v>
      </c>
      <c r="Q317" s="5">
        <v>1</v>
      </c>
      <c r="R317" s="5" t="s">
        <v>3</v>
      </c>
      <c r="S317" s="5" t="s">
        <v>3</v>
      </c>
      <c r="T317" s="5" t="s">
        <v>3</v>
      </c>
      <c r="U317" s="5" t="s">
        <v>3</v>
      </c>
      <c r="V317" s="5" t="s">
        <v>3</v>
      </c>
      <c r="W317" s="5" t="s">
        <v>3</v>
      </c>
      <c r="X317" s="5" t="s">
        <v>3</v>
      </c>
      <c r="Y317" s="5" t="s">
        <v>3</v>
      </c>
      <c r="Z317" s="5" t="s">
        <v>3</v>
      </c>
      <c r="AA317" s="5" t="s">
        <v>3</v>
      </c>
    </row>
    <row r="321" spans="1:5" x14ac:dyDescent="0.2">
      <c r="A321">
        <v>65</v>
      </c>
      <c r="C321">
        <v>1</v>
      </c>
      <c r="D321">
        <v>0</v>
      </c>
      <c r="E32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287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5</v>
      </c>
      <c r="AC12" s="1" t="s">
        <v>6</v>
      </c>
      <c r="AD12" s="1" t="s">
        <v>7</v>
      </c>
      <c r="AE12" s="1" t="s">
        <v>8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9</v>
      </c>
      <c r="BI12" s="1" t="s">
        <v>10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11</v>
      </c>
      <c r="BZ12" s="1" t="s">
        <v>12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13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35007309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14</v>
      </c>
      <c r="D16" s="6" t="s">
        <v>15</v>
      </c>
      <c r="E16" s="7">
        <f>(Source!F138)/1000</f>
        <v>33.267960000000002</v>
      </c>
      <c r="F16" s="7">
        <f>(Source!F139)/1000</f>
        <v>158.73597000000001</v>
      </c>
      <c r="G16" s="7">
        <f>(Source!F130)/1000</f>
        <v>0</v>
      </c>
      <c r="H16" s="7">
        <f>(Source!F140)/1000+(Source!F141)/1000</f>
        <v>0</v>
      </c>
      <c r="I16" s="7">
        <f>E16+F16+G16+H16</f>
        <v>192.00393000000003</v>
      </c>
      <c r="J16" s="7">
        <f>(Source!F136)/1000</f>
        <v>33.372550000000004</v>
      </c>
      <c r="AI16" s="6">
        <v>4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148348.07999999999</v>
      </c>
      <c r="AU16" s="7">
        <v>114158.48</v>
      </c>
      <c r="AW16" s="7">
        <v>0</v>
      </c>
      <c r="AX16" s="7">
        <v>0</v>
      </c>
      <c r="AY16" s="7">
        <v>817.05</v>
      </c>
      <c r="AZ16" s="7">
        <v>239.15</v>
      </c>
      <c r="BA16" s="7">
        <v>33372.550000000003</v>
      </c>
      <c r="BB16" s="7">
        <v>33267.96</v>
      </c>
      <c r="BC16" s="7">
        <v>158735.97</v>
      </c>
      <c r="BD16" s="7">
        <v>0</v>
      </c>
      <c r="BE16" s="7">
        <v>0</v>
      </c>
      <c r="BF16" s="7">
        <v>146.99168000000003</v>
      </c>
      <c r="BG16" s="7">
        <v>0.76433000000000006</v>
      </c>
      <c r="BH16" s="7">
        <v>0</v>
      </c>
      <c r="BI16" s="7">
        <v>26762.09</v>
      </c>
      <c r="BJ16" s="7">
        <v>16893.759999999998</v>
      </c>
      <c r="BK16" s="7">
        <v>192003.93</v>
      </c>
    </row>
    <row r="17" spans="1:63" x14ac:dyDescent="0.2">
      <c r="A17" s="6">
        <v>3</v>
      </c>
      <c r="B17" s="6">
        <v>2</v>
      </c>
      <c r="C17" s="6" t="s">
        <v>200</v>
      </c>
      <c r="D17" s="6" t="s">
        <v>201</v>
      </c>
      <c r="E17" s="7">
        <f>(Source!F246)/1000</f>
        <v>0</v>
      </c>
      <c r="F17" s="7">
        <f>(Source!F247)/1000</f>
        <v>0</v>
      </c>
      <c r="G17" s="7">
        <f>(Source!F238)/1000</f>
        <v>0</v>
      </c>
      <c r="H17" s="7">
        <f>(Source!F248)/1000+(Source!F249)/1000</f>
        <v>19.97167</v>
      </c>
      <c r="I17" s="7">
        <f>E17+F17+G17+H17</f>
        <v>19.97167</v>
      </c>
      <c r="J17" s="7">
        <f>(Source!F244)/1000</f>
        <v>10.680040000000002</v>
      </c>
      <c r="AI17" s="6">
        <v>0</v>
      </c>
      <c r="AJ17" s="6">
        <v>0</v>
      </c>
      <c r="AK17" s="6" t="s">
        <v>3</v>
      </c>
      <c r="AL17" s="6" t="s">
        <v>3</v>
      </c>
      <c r="AM17" s="6" t="s">
        <v>3</v>
      </c>
      <c r="AN17" s="6">
        <v>0</v>
      </c>
      <c r="AO17" s="6" t="s">
        <v>3</v>
      </c>
      <c r="AP17" s="6" t="s">
        <v>3</v>
      </c>
      <c r="AT17" s="7">
        <v>10680.04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10680.04</v>
      </c>
      <c r="BB17" s="7">
        <v>0</v>
      </c>
      <c r="BC17" s="7">
        <v>0</v>
      </c>
      <c r="BD17" s="7">
        <v>19971.669999999998</v>
      </c>
      <c r="BE17" s="7">
        <v>0</v>
      </c>
      <c r="BF17" s="7">
        <v>36.033999999999999</v>
      </c>
      <c r="BG17" s="7">
        <v>0</v>
      </c>
      <c r="BH17" s="7">
        <v>0</v>
      </c>
      <c r="BI17" s="7">
        <v>5874.02</v>
      </c>
      <c r="BJ17" s="7">
        <v>3417.61</v>
      </c>
      <c r="BK17" s="7">
        <v>19971.669999999998</v>
      </c>
    </row>
    <row r="19" spans="1:63" x14ac:dyDescent="0.2">
      <c r="A19">
        <v>51</v>
      </c>
      <c r="E19" s="8">
        <f>SUMIF(A16:A18,3,E16:E18)</f>
        <v>33.267960000000002</v>
      </c>
      <c r="F19" s="8">
        <f>SUMIF(A16:A18,3,F16:F18)</f>
        <v>158.73597000000001</v>
      </c>
      <c r="G19" s="8">
        <f>SUMIF(A16:A18,3,G16:G18)</f>
        <v>0</v>
      </c>
      <c r="H19" s="8">
        <f>SUMIF(A16:A18,3,H16:H18)</f>
        <v>19.97167</v>
      </c>
      <c r="I19" s="8">
        <f>SUMIF(A16:A18,3,I16:I18)</f>
        <v>211.97560000000001</v>
      </c>
      <c r="J19" s="8">
        <f>SUMIF(A16:A18,3,J16:J18)</f>
        <v>44.052590000000009</v>
      </c>
      <c r="K19" s="8"/>
      <c r="L19" s="8"/>
      <c r="M19" s="8"/>
      <c r="N19" s="8"/>
      <c r="O19" s="8"/>
      <c r="P19" s="8"/>
      <c r="Q19" s="8"/>
      <c r="R19" s="8"/>
      <c r="S19" s="8"/>
    </row>
    <row r="21" spans="1:63" x14ac:dyDescent="0.2">
      <c r="A21" s="4">
        <v>50</v>
      </c>
      <c r="B21" s="4">
        <v>0</v>
      </c>
      <c r="C21" s="4">
        <v>0</v>
      </c>
      <c r="D21" s="4">
        <v>1</v>
      </c>
      <c r="E21" s="4">
        <v>201</v>
      </c>
      <c r="F21" s="4">
        <v>159028.12</v>
      </c>
      <c r="G21" s="4" t="s">
        <v>128</v>
      </c>
      <c r="H21" s="4" t="s">
        <v>129</v>
      </c>
      <c r="I21" s="4"/>
      <c r="J21" s="4"/>
      <c r="K21" s="4">
        <v>201</v>
      </c>
      <c r="L21" s="4">
        <v>1</v>
      </c>
      <c r="M21" s="4">
        <v>3</v>
      </c>
      <c r="N21" s="4" t="s">
        <v>3</v>
      </c>
      <c r="O21" s="4">
        <v>2</v>
      </c>
      <c r="P21" s="4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202</v>
      </c>
      <c r="F22" s="4">
        <v>114158.48</v>
      </c>
      <c r="G22" s="4" t="s">
        <v>130</v>
      </c>
      <c r="H22" s="4" t="s">
        <v>131</v>
      </c>
      <c r="I22" s="4"/>
      <c r="J22" s="4"/>
      <c r="K22" s="4">
        <v>202</v>
      </c>
      <c r="L22" s="4">
        <v>2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30781752</v>
      </c>
      <c r="F23" s="4">
        <v>8730.1299999999992</v>
      </c>
      <c r="G23" s="4" t="s">
        <v>132</v>
      </c>
      <c r="H23" s="4" t="s">
        <v>133</v>
      </c>
      <c r="I23" s="4"/>
      <c r="J23" s="4"/>
      <c r="K23" s="4">
        <v>222</v>
      </c>
      <c r="L23" s="4">
        <v>3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225</v>
      </c>
      <c r="F24" s="4">
        <v>105428.35</v>
      </c>
      <c r="G24" s="4" t="s">
        <v>134</v>
      </c>
      <c r="H24" s="4" t="s">
        <v>135</v>
      </c>
      <c r="I24" s="4"/>
      <c r="J24" s="4"/>
      <c r="K24" s="4">
        <v>225</v>
      </c>
      <c r="L24" s="4">
        <v>4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226</v>
      </c>
      <c r="F25" s="4">
        <v>114158.48</v>
      </c>
      <c r="G25" s="4" t="s">
        <v>136</v>
      </c>
      <c r="H25" s="4" t="s">
        <v>137</v>
      </c>
      <c r="I25" s="4"/>
      <c r="J25" s="4"/>
      <c r="K25" s="4">
        <v>226</v>
      </c>
      <c r="L25" s="4">
        <v>5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227</v>
      </c>
      <c r="F26" s="4">
        <v>8730.1299999999992</v>
      </c>
      <c r="G26" s="4" t="s">
        <v>138</v>
      </c>
      <c r="H26" s="4" t="s">
        <v>139</v>
      </c>
      <c r="I26" s="4"/>
      <c r="J26" s="4"/>
      <c r="K26" s="4">
        <v>227</v>
      </c>
      <c r="L26" s="4">
        <v>6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228</v>
      </c>
      <c r="F27" s="4">
        <v>105428.35</v>
      </c>
      <c r="G27" s="4" t="s">
        <v>140</v>
      </c>
      <c r="H27" s="4" t="s">
        <v>141</v>
      </c>
      <c r="I27" s="4"/>
      <c r="J27" s="4"/>
      <c r="K27" s="4">
        <v>228</v>
      </c>
      <c r="L27" s="4">
        <v>7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216</v>
      </c>
      <c r="F28" s="4">
        <v>0</v>
      </c>
      <c r="G28" s="4" t="s">
        <v>142</v>
      </c>
      <c r="H28" s="4" t="s">
        <v>143</v>
      </c>
      <c r="I28" s="4"/>
      <c r="J28" s="4"/>
      <c r="K28" s="4">
        <v>216</v>
      </c>
      <c r="L28" s="4">
        <v>8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223</v>
      </c>
      <c r="F29" s="4">
        <v>0</v>
      </c>
      <c r="G29" s="4" t="s">
        <v>144</v>
      </c>
      <c r="H29" s="4" t="s">
        <v>145</v>
      </c>
      <c r="I29" s="4"/>
      <c r="J29" s="4"/>
      <c r="K29" s="4">
        <v>223</v>
      </c>
      <c r="L29" s="4">
        <v>9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229</v>
      </c>
      <c r="F30" s="4">
        <v>0</v>
      </c>
      <c r="G30" s="4" t="s">
        <v>146</v>
      </c>
      <c r="H30" s="4" t="s">
        <v>147</v>
      </c>
      <c r="I30" s="4"/>
      <c r="J30" s="4"/>
      <c r="K30" s="4">
        <v>229</v>
      </c>
      <c r="L30" s="4">
        <v>10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203</v>
      </c>
      <c r="F31" s="4">
        <v>817.05</v>
      </c>
      <c r="G31" s="4" t="s">
        <v>148</v>
      </c>
      <c r="H31" s="4" t="s">
        <v>149</v>
      </c>
      <c r="I31" s="4"/>
      <c r="J31" s="4"/>
      <c r="K31" s="4">
        <v>203</v>
      </c>
      <c r="L31" s="4">
        <v>11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231</v>
      </c>
      <c r="F32" s="4">
        <v>0</v>
      </c>
      <c r="G32" s="4" t="s">
        <v>150</v>
      </c>
      <c r="H32" s="4" t="s">
        <v>151</v>
      </c>
      <c r="I32" s="4"/>
      <c r="J32" s="4"/>
      <c r="K32" s="4">
        <v>231</v>
      </c>
      <c r="L32" s="4">
        <v>12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204</v>
      </c>
      <c r="F33" s="4">
        <v>239.15</v>
      </c>
      <c r="G33" s="4" t="s">
        <v>152</v>
      </c>
      <c r="H33" s="4" t="s">
        <v>153</v>
      </c>
      <c r="I33" s="4"/>
      <c r="J33" s="4"/>
      <c r="K33" s="4">
        <v>204</v>
      </c>
      <c r="L33" s="4">
        <v>13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205</v>
      </c>
      <c r="F34" s="4">
        <v>44052.59</v>
      </c>
      <c r="G34" s="4" t="s">
        <v>154</v>
      </c>
      <c r="H34" s="4" t="s">
        <v>155</v>
      </c>
      <c r="I34" s="4"/>
      <c r="J34" s="4"/>
      <c r="K34" s="4">
        <v>205</v>
      </c>
      <c r="L34" s="4">
        <v>14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232</v>
      </c>
      <c r="F35" s="4">
        <v>0</v>
      </c>
      <c r="G35" s="4" t="s">
        <v>156</v>
      </c>
      <c r="H35" s="4" t="s">
        <v>157</v>
      </c>
      <c r="I35" s="4"/>
      <c r="J35" s="4"/>
      <c r="K35" s="4">
        <v>232</v>
      </c>
      <c r="L35" s="4">
        <v>15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214</v>
      </c>
      <c r="F36" s="4">
        <v>33267.96</v>
      </c>
      <c r="G36" s="4" t="s">
        <v>158</v>
      </c>
      <c r="H36" s="4" t="s">
        <v>159</v>
      </c>
      <c r="I36" s="4"/>
      <c r="J36" s="4"/>
      <c r="K36" s="4">
        <v>214</v>
      </c>
      <c r="L36" s="4">
        <v>16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215</v>
      </c>
      <c r="F37" s="4">
        <v>158735.97</v>
      </c>
      <c r="G37" s="4" t="s">
        <v>160</v>
      </c>
      <c r="H37" s="4" t="s">
        <v>161</v>
      </c>
      <c r="I37" s="4"/>
      <c r="J37" s="4"/>
      <c r="K37" s="4">
        <v>215</v>
      </c>
      <c r="L37" s="4">
        <v>17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217</v>
      </c>
      <c r="F38" s="4">
        <v>19971.669999999998</v>
      </c>
      <c r="G38" s="4" t="s">
        <v>162</v>
      </c>
      <c r="H38" s="4" t="s">
        <v>163</v>
      </c>
      <c r="I38" s="4"/>
      <c r="J38" s="4"/>
      <c r="K38" s="4">
        <v>217</v>
      </c>
      <c r="L38" s="4">
        <v>18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230</v>
      </c>
      <c r="F39" s="4">
        <v>0</v>
      </c>
      <c r="G39" s="4" t="s">
        <v>164</v>
      </c>
      <c r="H39" s="4" t="s">
        <v>165</v>
      </c>
      <c r="I39" s="4"/>
      <c r="J39" s="4"/>
      <c r="K39" s="4">
        <v>230</v>
      </c>
      <c r="L39" s="4">
        <v>19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206</v>
      </c>
      <c r="F40" s="4">
        <v>0</v>
      </c>
      <c r="G40" s="4" t="s">
        <v>166</v>
      </c>
      <c r="H40" s="4" t="s">
        <v>167</v>
      </c>
      <c r="I40" s="4"/>
      <c r="J40" s="4"/>
      <c r="K40" s="4">
        <v>206</v>
      </c>
      <c r="L40" s="4">
        <v>20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207</v>
      </c>
      <c r="F41" s="4">
        <v>183.02568000000002</v>
      </c>
      <c r="G41" s="4" t="s">
        <v>168</v>
      </c>
      <c r="H41" s="4" t="s">
        <v>169</v>
      </c>
      <c r="I41" s="4"/>
      <c r="J41" s="4"/>
      <c r="K41" s="4">
        <v>207</v>
      </c>
      <c r="L41" s="4">
        <v>21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208</v>
      </c>
      <c r="F42" s="4">
        <v>0.76433000000000006</v>
      </c>
      <c r="G42" s="4" t="s">
        <v>170</v>
      </c>
      <c r="H42" s="4" t="s">
        <v>171</v>
      </c>
      <c r="I42" s="4"/>
      <c r="J42" s="4"/>
      <c r="K42" s="4">
        <v>208</v>
      </c>
      <c r="L42" s="4">
        <v>22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209</v>
      </c>
      <c r="F43" s="4">
        <v>0</v>
      </c>
      <c r="G43" s="4" t="s">
        <v>172</v>
      </c>
      <c r="H43" s="4" t="s">
        <v>173</v>
      </c>
      <c r="I43" s="4"/>
      <c r="J43" s="4"/>
      <c r="K43" s="4">
        <v>209</v>
      </c>
      <c r="L43" s="4">
        <v>23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32636.11</v>
      </c>
      <c r="G44" s="4" t="s">
        <v>174</v>
      </c>
      <c r="H44" s="4" t="s">
        <v>175</v>
      </c>
      <c r="I44" s="4"/>
      <c r="J44" s="4"/>
      <c r="K44" s="4">
        <v>210</v>
      </c>
      <c r="L44" s="4">
        <v>24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20311.37</v>
      </c>
      <c r="G45" s="4" t="s">
        <v>176</v>
      </c>
      <c r="H45" s="4" t="s">
        <v>177</v>
      </c>
      <c r="I45" s="4"/>
      <c r="J45" s="4"/>
      <c r="K45" s="4">
        <v>211</v>
      </c>
      <c r="L45" s="4">
        <v>25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211975.6</v>
      </c>
      <c r="G46" s="4" t="s">
        <v>178</v>
      </c>
      <c r="H46" s="4" t="s">
        <v>179</v>
      </c>
      <c r="I46" s="4"/>
      <c r="J46" s="4"/>
      <c r="K46" s="4">
        <v>224</v>
      </c>
      <c r="L46" s="4">
        <v>26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27" x14ac:dyDescent="0.2">
      <c r="A51" s="3">
        <v>75</v>
      </c>
      <c r="B51" s="3" t="s">
        <v>284</v>
      </c>
      <c r="C51" s="3">
        <v>2017</v>
      </c>
      <c r="D51" s="3">
        <v>0</v>
      </c>
      <c r="E51" s="3">
        <v>12</v>
      </c>
      <c r="F51" s="3"/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35007309</v>
      </c>
      <c r="O51" s="3">
        <v>1</v>
      </c>
    </row>
    <row r="52" spans="1:27" x14ac:dyDescent="0.2">
      <c r="A52" s="5">
        <v>1</v>
      </c>
      <c r="B52" s="5" t="s">
        <v>285</v>
      </c>
      <c r="C52" s="5" t="s">
        <v>286</v>
      </c>
      <c r="D52" s="5">
        <v>2017</v>
      </c>
      <c r="E52" s="5">
        <v>12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0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ROW(Source!A28)</f>
        <v>28</v>
      </c>
      <c r="B1">
        <v>35007309</v>
      </c>
      <c r="C1">
        <v>35007445</v>
      </c>
      <c r="D1">
        <v>31710352</v>
      </c>
      <c r="E1">
        <v>1</v>
      </c>
      <c r="F1">
        <v>1</v>
      </c>
      <c r="G1">
        <v>1</v>
      </c>
      <c r="H1">
        <v>1</v>
      </c>
      <c r="I1" t="s">
        <v>288</v>
      </c>
      <c r="J1" t="s">
        <v>3</v>
      </c>
      <c r="K1" t="s">
        <v>289</v>
      </c>
      <c r="L1">
        <v>1191</v>
      </c>
      <c r="N1">
        <v>1013</v>
      </c>
      <c r="O1" t="s">
        <v>290</v>
      </c>
      <c r="P1" t="s">
        <v>290</v>
      </c>
      <c r="Q1">
        <v>1</v>
      </c>
      <c r="W1">
        <v>0</v>
      </c>
      <c r="X1">
        <v>-1972610816</v>
      </c>
      <c r="Y1">
        <v>88.5</v>
      </c>
      <c r="AA1">
        <v>0</v>
      </c>
      <c r="AB1">
        <v>0</v>
      </c>
      <c r="AC1">
        <v>0</v>
      </c>
      <c r="AD1">
        <v>7.5</v>
      </c>
      <c r="AE1">
        <v>0</v>
      </c>
      <c r="AF1">
        <v>0</v>
      </c>
      <c r="AG1">
        <v>0</v>
      </c>
      <c r="AH1">
        <v>7.5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88.5</v>
      </c>
      <c r="AU1" t="s">
        <v>3</v>
      </c>
      <c r="AV1">
        <v>1</v>
      </c>
      <c r="AW1">
        <v>2</v>
      </c>
      <c r="AX1">
        <v>35007925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6.1950000000000003</v>
      </c>
      <c r="CY1">
        <f>AD1</f>
        <v>7.5</v>
      </c>
      <c r="CZ1">
        <f>AH1</f>
        <v>7.5</v>
      </c>
      <c r="DA1">
        <f>AL1</f>
        <v>1</v>
      </c>
      <c r="DB1">
        <v>0</v>
      </c>
    </row>
    <row r="2" spans="1:106" x14ac:dyDescent="0.2">
      <c r="A2">
        <f>ROW(Source!A28)</f>
        <v>28</v>
      </c>
      <c r="B2">
        <v>35007309</v>
      </c>
      <c r="C2">
        <v>35007445</v>
      </c>
      <c r="D2">
        <v>31443147</v>
      </c>
      <c r="E2">
        <v>1</v>
      </c>
      <c r="F2">
        <v>1</v>
      </c>
      <c r="G2">
        <v>1</v>
      </c>
      <c r="H2">
        <v>3</v>
      </c>
      <c r="I2" t="s">
        <v>29</v>
      </c>
      <c r="J2" t="s">
        <v>32</v>
      </c>
      <c r="K2" t="s">
        <v>30</v>
      </c>
      <c r="L2">
        <v>1339</v>
      </c>
      <c r="N2">
        <v>1007</v>
      </c>
      <c r="O2" t="s">
        <v>31</v>
      </c>
      <c r="P2" t="s">
        <v>31</v>
      </c>
      <c r="Q2">
        <v>1</v>
      </c>
      <c r="W2">
        <v>0</v>
      </c>
      <c r="X2">
        <v>362385543</v>
      </c>
      <c r="Y2">
        <v>100</v>
      </c>
      <c r="AA2">
        <v>456.45</v>
      </c>
      <c r="AB2">
        <v>0</v>
      </c>
      <c r="AC2">
        <v>0</v>
      </c>
      <c r="AD2">
        <v>0</v>
      </c>
      <c r="AE2">
        <v>55.26</v>
      </c>
      <c r="AF2">
        <v>0</v>
      </c>
      <c r="AG2">
        <v>0</v>
      </c>
      <c r="AH2">
        <v>0</v>
      </c>
      <c r="AI2">
        <v>8.26</v>
      </c>
      <c r="AJ2">
        <v>1</v>
      </c>
      <c r="AK2">
        <v>1</v>
      </c>
      <c r="AL2">
        <v>1</v>
      </c>
      <c r="AN2">
        <v>0</v>
      </c>
      <c r="AO2">
        <v>0</v>
      </c>
      <c r="AP2">
        <v>0</v>
      </c>
      <c r="AQ2">
        <v>0</v>
      </c>
      <c r="AR2">
        <v>0</v>
      </c>
      <c r="AS2" t="s">
        <v>3</v>
      </c>
      <c r="AT2">
        <v>100</v>
      </c>
      <c r="AU2" t="s">
        <v>3</v>
      </c>
      <c r="AV2">
        <v>0</v>
      </c>
      <c r="AW2">
        <v>1</v>
      </c>
      <c r="AX2">
        <v>-1</v>
      </c>
      <c r="AY2">
        <v>0</v>
      </c>
      <c r="AZ2">
        <v>0</v>
      </c>
      <c r="BA2" t="s">
        <v>3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7.0000000000000009</v>
      </c>
      <c r="CY2">
        <f>AA2</f>
        <v>456.45</v>
      </c>
      <c r="CZ2">
        <f>AE2</f>
        <v>55.26</v>
      </c>
      <c r="DA2">
        <f>AI2</f>
        <v>8.26</v>
      </c>
      <c r="DB2">
        <v>0</v>
      </c>
    </row>
    <row r="3" spans="1:106" x14ac:dyDescent="0.2">
      <c r="A3">
        <f>ROW(Source!A30)</f>
        <v>30</v>
      </c>
      <c r="B3">
        <v>35007309</v>
      </c>
      <c r="C3">
        <v>35007450</v>
      </c>
      <c r="D3">
        <v>31710352</v>
      </c>
      <c r="E3">
        <v>1</v>
      </c>
      <c r="F3">
        <v>1</v>
      </c>
      <c r="G3">
        <v>1</v>
      </c>
      <c r="H3">
        <v>1</v>
      </c>
      <c r="I3" t="s">
        <v>288</v>
      </c>
      <c r="J3" t="s">
        <v>3</v>
      </c>
      <c r="K3" t="s">
        <v>289</v>
      </c>
      <c r="L3">
        <v>1191</v>
      </c>
      <c r="N3">
        <v>1013</v>
      </c>
      <c r="O3" t="s">
        <v>290</v>
      </c>
      <c r="P3" t="s">
        <v>290</v>
      </c>
      <c r="Q3">
        <v>1</v>
      </c>
      <c r="W3">
        <v>0</v>
      </c>
      <c r="X3">
        <v>-1972610816</v>
      </c>
      <c r="Y3">
        <v>97.2</v>
      </c>
      <c r="AA3">
        <v>0</v>
      </c>
      <c r="AB3">
        <v>0</v>
      </c>
      <c r="AC3">
        <v>0</v>
      </c>
      <c r="AD3">
        <v>7.5</v>
      </c>
      <c r="AE3">
        <v>0</v>
      </c>
      <c r="AF3">
        <v>0</v>
      </c>
      <c r="AG3">
        <v>0</v>
      </c>
      <c r="AH3">
        <v>7.5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97.2</v>
      </c>
      <c r="AU3" t="s">
        <v>3</v>
      </c>
      <c r="AV3">
        <v>1</v>
      </c>
      <c r="AW3">
        <v>2</v>
      </c>
      <c r="AX3">
        <v>35007926</v>
      </c>
      <c r="AY3">
        <v>1</v>
      </c>
      <c r="AZ3">
        <v>0</v>
      </c>
      <c r="BA3">
        <v>2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Y3*Source!I30</f>
        <v>15.552000000000001</v>
      </c>
      <c r="CY3">
        <f>AD3</f>
        <v>7.5</v>
      </c>
      <c r="CZ3">
        <f>AH3</f>
        <v>7.5</v>
      </c>
      <c r="DA3">
        <f>AL3</f>
        <v>1</v>
      </c>
      <c r="DB3">
        <v>0</v>
      </c>
    </row>
    <row r="4" spans="1:106" x14ac:dyDescent="0.2">
      <c r="A4">
        <f>ROW(Source!A30)</f>
        <v>30</v>
      </c>
      <c r="B4">
        <v>35007309</v>
      </c>
      <c r="C4">
        <v>35007450</v>
      </c>
      <c r="D4">
        <v>31442762</v>
      </c>
      <c r="E4">
        <v>1</v>
      </c>
      <c r="F4">
        <v>1</v>
      </c>
      <c r="G4">
        <v>1</v>
      </c>
      <c r="H4">
        <v>3</v>
      </c>
      <c r="I4" t="s">
        <v>38</v>
      </c>
      <c r="J4" t="s">
        <v>40</v>
      </c>
      <c r="K4" t="s">
        <v>39</v>
      </c>
      <c r="L4">
        <v>1339</v>
      </c>
      <c r="N4">
        <v>1007</v>
      </c>
      <c r="O4" t="s">
        <v>31</v>
      </c>
      <c r="P4" t="s">
        <v>31</v>
      </c>
      <c r="Q4">
        <v>1</v>
      </c>
      <c r="W4">
        <v>0</v>
      </c>
      <c r="X4">
        <v>-963716422</v>
      </c>
      <c r="Y4">
        <v>100</v>
      </c>
      <c r="AA4">
        <v>654.79</v>
      </c>
      <c r="AB4">
        <v>0</v>
      </c>
      <c r="AC4">
        <v>0</v>
      </c>
      <c r="AD4">
        <v>0</v>
      </c>
      <c r="AE4">
        <v>112.7</v>
      </c>
      <c r="AF4">
        <v>0</v>
      </c>
      <c r="AG4">
        <v>0</v>
      </c>
      <c r="AH4">
        <v>0</v>
      </c>
      <c r="AI4">
        <v>5.81</v>
      </c>
      <c r="AJ4">
        <v>1</v>
      </c>
      <c r="AK4">
        <v>1</v>
      </c>
      <c r="AL4">
        <v>1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3</v>
      </c>
      <c r="AT4">
        <v>100</v>
      </c>
      <c r="AU4" t="s">
        <v>3</v>
      </c>
      <c r="AV4">
        <v>0</v>
      </c>
      <c r="AW4">
        <v>1</v>
      </c>
      <c r="AX4">
        <v>-1</v>
      </c>
      <c r="AY4">
        <v>0</v>
      </c>
      <c r="AZ4">
        <v>0</v>
      </c>
      <c r="BA4" t="s">
        <v>3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Y4*Source!I30</f>
        <v>16</v>
      </c>
      <c r="CY4">
        <f>AA4</f>
        <v>654.79</v>
      </c>
      <c r="CZ4">
        <f>AE4</f>
        <v>112.7</v>
      </c>
      <c r="DA4">
        <f>AI4</f>
        <v>5.81</v>
      </c>
      <c r="DB4">
        <v>0</v>
      </c>
    </row>
    <row r="5" spans="1:106" x14ac:dyDescent="0.2">
      <c r="A5">
        <f>ROW(Source!A32)</f>
        <v>32</v>
      </c>
      <c r="B5">
        <v>35007309</v>
      </c>
      <c r="C5">
        <v>35007455</v>
      </c>
      <c r="D5">
        <v>31703728</v>
      </c>
      <c r="E5">
        <v>1</v>
      </c>
      <c r="F5">
        <v>1</v>
      </c>
      <c r="G5">
        <v>1</v>
      </c>
      <c r="H5">
        <v>1</v>
      </c>
      <c r="I5" t="s">
        <v>291</v>
      </c>
      <c r="J5" t="s">
        <v>3</v>
      </c>
      <c r="K5" t="s">
        <v>292</v>
      </c>
      <c r="L5">
        <v>1191</v>
      </c>
      <c r="N5">
        <v>1013</v>
      </c>
      <c r="O5" t="s">
        <v>290</v>
      </c>
      <c r="P5" t="s">
        <v>290</v>
      </c>
      <c r="Q5">
        <v>1</v>
      </c>
      <c r="W5">
        <v>0</v>
      </c>
      <c r="X5">
        <v>-1081351934</v>
      </c>
      <c r="Y5">
        <v>46.48</v>
      </c>
      <c r="AA5">
        <v>0</v>
      </c>
      <c r="AB5">
        <v>0</v>
      </c>
      <c r="AC5">
        <v>0</v>
      </c>
      <c r="AD5">
        <v>9.4</v>
      </c>
      <c r="AE5">
        <v>0</v>
      </c>
      <c r="AF5">
        <v>0</v>
      </c>
      <c r="AG5">
        <v>0</v>
      </c>
      <c r="AH5">
        <v>9.4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46.48</v>
      </c>
      <c r="AU5" t="s">
        <v>3</v>
      </c>
      <c r="AV5">
        <v>1</v>
      </c>
      <c r="AW5">
        <v>2</v>
      </c>
      <c r="AX5">
        <v>35007927</v>
      </c>
      <c r="AY5">
        <v>1</v>
      </c>
      <c r="AZ5">
        <v>0</v>
      </c>
      <c r="BA5">
        <v>3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Y5*Source!I32</f>
        <v>1.0457999999999998</v>
      </c>
      <c r="CY5">
        <f>AD5</f>
        <v>9.4</v>
      </c>
      <c r="CZ5">
        <f>AH5</f>
        <v>9.4</v>
      </c>
      <c r="DA5">
        <f>AL5</f>
        <v>1</v>
      </c>
      <c r="DB5">
        <v>0</v>
      </c>
    </row>
    <row r="6" spans="1:106" x14ac:dyDescent="0.2">
      <c r="A6">
        <f>ROW(Source!A32)</f>
        <v>32</v>
      </c>
      <c r="B6">
        <v>35007309</v>
      </c>
      <c r="C6">
        <v>35007455</v>
      </c>
      <c r="D6">
        <v>31703727</v>
      </c>
      <c r="E6">
        <v>1</v>
      </c>
      <c r="F6">
        <v>1</v>
      </c>
      <c r="G6">
        <v>1</v>
      </c>
      <c r="H6">
        <v>1</v>
      </c>
      <c r="I6" t="s">
        <v>293</v>
      </c>
      <c r="J6" t="s">
        <v>3</v>
      </c>
      <c r="K6" t="s">
        <v>294</v>
      </c>
      <c r="L6">
        <v>1191</v>
      </c>
      <c r="N6">
        <v>1013</v>
      </c>
      <c r="O6" t="s">
        <v>290</v>
      </c>
      <c r="P6" t="s">
        <v>290</v>
      </c>
      <c r="Q6">
        <v>1</v>
      </c>
      <c r="W6">
        <v>0</v>
      </c>
      <c r="X6">
        <v>-1417349443</v>
      </c>
      <c r="Y6">
        <v>2.5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2.5</v>
      </c>
      <c r="AU6" t="s">
        <v>3</v>
      </c>
      <c r="AV6">
        <v>2</v>
      </c>
      <c r="AW6">
        <v>2</v>
      </c>
      <c r="AX6">
        <v>35007928</v>
      </c>
      <c r="AY6">
        <v>1</v>
      </c>
      <c r="AZ6">
        <v>0</v>
      </c>
      <c r="BA6">
        <v>4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Y6*Source!I32</f>
        <v>5.6249999999999994E-2</v>
      </c>
      <c r="CY6">
        <f>AD6</f>
        <v>0</v>
      </c>
      <c r="CZ6">
        <f>AH6</f>
        <v>0</v>
      </c>
      <c r="DA6">
        <f>AL6</f>
        <v>1</v>
      </c>
      <c r="DB6">
        <v>0</v>
      </c>
    </row>
    <row r="7" spans="1:106" x14ac:dyDescent="0.2">
      <c r="A7">
        <f>ROW(Source!A32)</f>
        <v>32</v>
      </c>
      <c r="B7">
        <v>35007309</v>
      </c>
      <c r="C7">
        <v>35007455</v>
      </c>
      <c r="D7">
        <v>31519244</v>
      </c>
      <c r="E7">
        <v>1</v>
      </c>
      <c r="F7">
        <v>1</v>
      </c>
      <c r="G7">
        <v>1</v>
      </c>
      <c r="H7">
        <v>2</v>
      </c>
      <c r="I7" t="s">
        <v>295</v>
      </c>
      <c r="J7" t="s">
        <v>296</v>
      </c>
      <c r="K7" t="s">
        <v>297</v>
      </c>
      <c r="L7">
        <v>1368</v>
      </c>
      <c r="N7">
        <v>1011</v>
      </c>
      <c r="O7" t="s">
        <v>298</v>
      </c>
      <c r="P7" t="s">
        <v>298</v>
      </c>
      <c r="Q7">
        <v>1</v>
      </c>
      <c r="W7">
        <v>0</v>
      </c>
      <c r="X7">
        <v>-1718674368</v>
      </c>
      <c r="Y7">
        <v>1.25</v>
      </c>
      <c r="AA7">
        <v>0</v>
      </c>
      <c r="AB7">
        <v>111.99</v>
      </c>
      <c r="AC7">
        <v>13.5</v>
      </c>
      <c r="AD7">
        <v>0</v>
      </c>
      <c r="AE7">
        <v>0</v>
      </c>
      <c r="AF7">
        <v>111.99</v>
      </c>
      <c r="AG7">
        <v>13.5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1.25</v>
      </c>
      <c r="AU7" t="s">
        <v>3</v>
      </c>
      <c r="AV7">
        <v>0</v>
      </c>
      <c r="AW7">
        <v>2</v>
      </c>
      <c r="AX7">
        <v>35007929</v>
      </c>
      <c r="AY7">
        <v>1</v>
      </c>
      <c r="AZ7">
        <v>0</v>
      </c>
      <c r="BA7">
        <v>5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Y7*Source!I32</f>
        <v>2.8124999999999997E-2</v>
      </c>
      <c r="CY7">
        <f>AB7</f>
        <v>111.99</v>
      </c>
      <c r="CZ7">
        <f>AF7</f>
        <v>111.99</v>
      </c>
      <c r="DA7">
        <f>AJ7</f>
        <v>1</v>
      </c>
      <c r="DB7">
        <v>0</v>
      </c>
    </row>
    <row r="8" spans="1:106" x14ac:dyDescent="0.2">
      <c r="A8">
        <f>ROW(Source!A32)</f>
        <v>32</v>
      </c>
      <c r="B8">
        <v>35007309</v>
      </c>
      <c r="C8">
        <v>35007455</v>
      </c>
      <c r="D8">
        <v>31520646</v>
      </c>
      <c r="E8">
        <v>1</v>
      </c>
      <c r="F8">
        <v>1</v>
      </c>
      <c r="G8">
        <v>1</v>
      </c>
      <c r="H8">
        <v>2</v>
      </c>
      <c r="I8" t="s">
        <v>299</v>
      </c>
      <c r="J8" t="s">
        <v>300</v>
      </c>
      <c r="K8" t="s">
        <v>301</v>
      </c>
      <c r="L8">
        <v>1368</v>
      </c>
      <c r="N8">
        <v>1011</v>
      </c>
      <c r="O8" t="s">
        <v>298</v>
      </c>
      <c r="P8" t="s">
        <v>298</v>
      </c>
      <c r="Q8">
        <v>1</v>
      </c>
      <c r="W8">
        <v>0</v>
      </c>
      <c r="X8">
        <v>1372534845</v>
      </c>
      <c r="Y8">
        <v>1.25</v>
      </c>
      <c r="AA8">
        <v>0</v>
      </c>
      <c r="AB8">
        <v>65.709999999999994</v>
      </c>
      <c r="AC8">
        <v>11.6</v>
      </c>
      <c r="AD8">
        <v>0</v>
      </c>
      <c r="AE8">
        <v>0</v>
      </c>
      <c r="AF8">
        <v>65.709999999999994</v>
      </c>
      <c r="AG8">
        <v>11.6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1.25</v>
      </c>
      <c r="AU8" t="s">
        <v>3</v>
      </c>
      <c r="AV8">
        <v>0</v>
      </c>
      <c r="AW8">
        <v>2</v>
      </c>
      <c r="AX8">
        <v>35007930</v>
      </c>
      <c r="AY8">
        <v>1</v>
      </c>
      <c r="AZ8">
        <v>0</v>
      </c>
      <c r="BA8">
        <v>6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Y8*Source!I32</f>
        <v>2.8124999999999997E-2</v>
      </c>
      <c r="CY8">
        <f>AB8</f>
        <v>65.709999999999994</v>
      </c>
      <c r="CZ8">
        <f>AF8</f>
        <v>65.709999999999994</v>
      </c>
      <c r="DA8">
        <f>AJ8</f>
        <v>1</v>
      </c>
      <c r="DB8">
        <v>0</v>
      </c>
    </row>
    <row r="9" spans="1:106" x14ac:dyDescent="0.2">
      <c r="A9">
        <f>ROW(Source!A32)</f>
        <v>32</v>
      </c>
      <c r="B9">
        <v>35007309</v>
      </c>
      <c r="C9">
        <v>35007455</v>
      </c>
      <c r="D9">
        <v>31520988</v>
      </c>
      <c r="E9">
        <v>1</v>
      </c>
      <c r="F9">
        <v>1</v>
      </c>
      <c r="G9">
        <v>1</v>
      </c>
      <c r="H9">
        <v>2</v>
      </c>
      <c r="I9" t="s">
        <v>302</v>
      </c>
      <c r="J9" t="s">
        <v>303</v>
      </c>
      <c r="K9" t="s">
        <v>304</v>
      </c>
      <c r="L9">
        <v>1368</v>
      </c>
      <c r="N9">
        <v>1011</v>
      </c>
      <c r="O9" t="s">
        <v>298</v>
      </c>
      <c r="P9" t="s">
        <v>298</v>
      </c>
      <c r="Q9">
        <v>1</v>
      </c>
      <c r="W9">
        <v>0</v>
      </c>
      <c r="X9">
        <v>-353815937</v>
      </c>
      <c r="Y9">
        <v>8.48</v>
      </c>
      <c r="AA9">
        <v>0</v>
      </c>
      <c r="AB9">
        <v>8.1</v>
      </c>
      <c r="AC9">
        <v>0</v>
      </c>
      <c r="AD9">
        <v>0</v>
      </c>
      <c r="AE9">
        <v>0</v>
      </c>
      <c r="AF9">
        <v>8.1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8.48</v>
      </c>
      <c r="AU9" t="s">
        <v>3</v>
      </c>
      <c r="AV9">
        <v>0</v>
      </c>
      <c r="AW9">
        <v>2</v>
      </c>
      <c r="AX9">
        <v>35007931</v>
      </c>
      <c r="AY9">
        <v>1</v>
      </c>
      <c r="AZ9">
        <v>0</v>
      </c>
      <c r="BA9">
        <v>7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Y9*Source!I32</f>
        <v>0.1908</v>
      </c>
      <c r="CY9">
        <f>AB9</f>
        <v>8.1</v>
      </c>
      <c r="CZ9">
        <f>AF9</f>
        <v>8.1</v>
      </c>
      <c r="DA9">
        <f>AJ9</f>
        <v>1</v>
      </c>
      <c r="DB9">
        <v>0</v>
      </c>
    </row>
    <row r="10" spans="1:106" x14ac:dyDescent="0.2">
      <c r="A10">
        <f>ROW(Source!A32)</f>
        <v>32</v>
      </c>
      <c r="B10">
        <v>35007309</v>
      </c>
      <c r="C10">
        <v>35007455</v>
      </c>
      <c r="D10">
        <v>31440116</v>
      </c>
      <c r="E10">
        <v>1</v>
      </c>
      <c r="F10">
        <v>1</v>
      </c>
      <c r="G10">
        <v>1</v>
      </c>
      <c r="H10">
        <v>3</v>
      </c>
      <c r="I10" t="s">
        <v>305</v>
      </c>
      <c r="J10" t="s">
        <v>306</v>
      </c>
      <c r="K10" t="s">
        <v>307</v>
      </c>
      <c r="L10">
        <v>1346</v>
      </c>
      <c r="N10">
        <v>1009</v>
      </c>
      <c r="O10" t="s">
        <v>121</v>
      </c>
      <c r="P10" t="s">
        <v>121</v>
      </c>
      <c r="Q10">
        <v>1</v>
      </c>
      <c r="W10">
        <v>0</v>
      </c>
      <c r="X10">
        <v>586013393</v>
      </c>
      <c r="Y10">
        <v>2.66</v>
      </c>
      <c r="AA10">
        <v>79.28</v>
      </c>
      <c r="AB10">
        <v>0</v>
      </c>
      <c r="AC10">
        <v>0</v>
      </c>
      <c r="AD10">
        <v>0</v>
      </c>
      <c r="AE10">
        <v>10.57</v>
      </c>
      <c r="AF10">
        <v>0</v>
      </c>
      <c r="AG10">
        <v>0</v>
      </c>
      <c r="AH10">
        <v>0</v>
      </c>
      <c r="AI10">
        <v>7.5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2.66</v>
      </c>
      <c r="AU10" t="s">
        <v>3</v>
      </c>
      <c r="AV10">
        <v>0</v>
      </c>
      <c r="AW10">
        <v>2</v>
      </c>
      <c r="AX10">
        <v>35007932</v>
      </c>
      <c r="AY10">
        <v>1</v>
      </c>
      <c r="AZ10">
        <v>0</v>
      </c>
      <c r="BA10">
        <v>8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Y10*Source!I32</f>
        <v>5.985E-2</v>
      </c>
      <c r="CY10">
        <f>AA10</f>
        <v>79.28</v>
      </c>
      <c r="CZ10">
        <f>AE10</f>
        <v>10.57</v>
      </c>
      <c r="DA10">
        <f>AI10</f>
        <v>7.5</v>
      </c>
      <c r="DB10">
        <v>0</v>
      </c>
    </row>
    <row r="11" spans="1:106" x14ac:dyDescent="0.2">
      <c r="A11">
        <f>ROW(Source!A32)</f>
        <v>32</v>
      </c>
      <c r="B11">
        <v>35007309</v>
      </c>
      <c r="C11">
        <v>35007455</v>
      </c>
      <c r="D11">
        <v>31441306</v>
      </c>
      <c r="E11">
        <v>1</v>
      </c>
      <c r="F11">
        <v>1</v>
      </c>
      <c r="G11">
        <v>1</v>
      </c>
      <c r="H11">
        <v>3</v>
      </c>
      <c r="I11" t="s">
        <v>308</v>
      </c>
      <c r="J11" t="s">
        <v>309</v>
      </c>
      <c r="K11" t="s">
        <v>310</v>
      </c>
      <c r="L11">
        <v>1346</v>
      </c>
      <c r="N11">
        <v>1009</v>
      </c>
      <c r="O11" t="s">
        <v>121</v>
      </c>
      <c r="P11" t="s">
        <v>121</v>
      </c>
      <c r="Q11">
        <v>1</v>
      </c>
      <c r="W11">
        <v>0</v>
      </c>
      <c r="X11">
        <v>103900845</v>
      </c>
      <c r="Y11">
        <v>1.78</v>
      </c>
      <c r="AA11">
        <v>76.03</v>
      </c>
      <c r="AB11">
        <v>0</v>
      </c>
      <c r="AC11">
        <v>0</v>
      </c>
      <c r="AD11">
        <v>0</v>
      </c>
      <c r="AE11">
        <v>9.0399999999999991</v>
      </c>
      <c r="AF11">
        <v>0</v>
      </c>
      <c r="AG11">
        <v>0</v>
      </c>
      <c r="AH11">
        <v>0</v>
      </c>
      <c r="AI11">
        <v>8.41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1.78</v>
      </c>
      <c r="AU11" t="s">
        <v>3</v>
      </c>
      <c r="AV11">
        <v>0</v>
      </c>
      <c r="AW11">
        <v>2</v>
      </c>
      <c r="AX11">
        <v>35007933</v>
      </c>
      <c r="AY11">
        <v>1</v>
      </c>
      <c r="AZ11">
        <v>0</v>
      </c>
      <c r="BA11">
        <v>9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Y11*Source!I32</f>
        <v>4.0050000000000002E-2</v>
      </c>
      <c r="CY11">
        <f>AA11</f>
        <v>76.03</v>
      </c>
      <c r="CZ11">
        <f>AE11</f>
        <v>9.0399999999999991</v>
      </c>
      <c r="DA11">
        <f>AI11</f>
        <v>8.41</v>
      </c>
      <c r="DB11">
        <v>0</v>
      </c>
    </row>
    <row r="12" spans="1:106" x14ac:dyDescent="0.2">
      <c r="A12">
        <f>ROW(Source!A32)</f>
        <v>32</v>
      </c>
      <c r="B12">
        <v>35007309</v>
      </c>
      <c r="C12">
        <v>35007455</v>
      </c>
      <c r="D12">
        <v>31490094</v>
      </c>
      <c r="E12">
        <v>1</v>
      </c>
      <c r="F12">
        <v>1</v>
      </c>
      <c r="G12">
        <v>1</v>
      </c>
      <c r="H12">
        <v>3</v>
      </c>
      <c r="I12" t="s">
        <v>50</v>
      </c>
      <c r="J12" t="s">
        <v>53</v>
      </c>
      <c r="K12" t="s">
        <v>51</v>
      </c>
      <c r="L12">
        <v>1354</v>
      </c>
      <c r="N12">
        <v>1010</v>
      </c>
      <c r="O12" t="s">
        <v>52</v>
      </c>
      <c r="P12" t="s">
        <v>52</v>
      </c>
      <c r="Q12">
        <v>1</v>
      </c>
      <c r="W12">
        <v>0</v>
      </c>
      <c r="X12">
        <v>-1959899177</v>
      </c>
      <c r="Y12">
        <v>200</v>
      </c>
      <c r="AA12">
        <v>527.16</v>
      </c>
      <c r="AB12">
        <v>0</v>
      </c>
      <c r="AC12">
        <v>0</v>
      </c>
      <c r="AD12">
        <v>0</v>
      </c>
      <c r="AE12">
        <v>88.45</v>
      </c>
      <c r="AF12">
        <v>0</v>
      </c>
      <c r="AG12">
        <v>0</v>
      </c>
      <c r="AH12">
        <v>0</v>
      </c>
      <c r="AI12">
        <v>5.96</v>
      </c>
      <c r="AJ12">
        <v>1</v>
      </c>
      <c r="AK12">
        <v>1</v>
      </c>
      <c r="AL12">
        <v>1</v>
      </c>
      <c r="AN12">
        <v>0</v>
      </c>
      <c r="AO12">
        <v>0</v>
      </c>
      <c r="AP12">
        <v>0</v>
      </c>
      <c r="AQ12">
        <v>0</v>
      </c>
      <c r="AR12">
        <v>0</v>
      </c>
      <c r="AS12" t="s">
        <v>3</v>
      </c>
      <c r="AT12">
        <v>200</v>
      </c>
      <c r="AU12" t="s">
        <v>3</v>
      </c>
      <c r="AV12">
        <v>0</v>
      </c>
      <c r="AW12">
        <v>1</v>
      </c>
      <c r="AX12">
        <v>-1</v>
      </c>
      <c r="AY12">
        <v>0</v>
      </c>
      <c r="AZ12">
        <v>0</v>
      </c>
      <c r="BA12" t="s">
        <v>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4.5</v>
      </c>
      <c r="CY12">
        <f>AA12</f>
        <v>527.16</v>
      </c>
      <c r="CZ12">
        <f>AE12</f>
        <v>88.45</v>
      </c>
      <c r="DA12">
        <f>AI12</f>
        <v>5.96</v>
      </c>
      <c r="DB12">
        <v>0</v>
      </c>
    </row>
    <row r="13" spans="1:106" x14ac:dyDescent="0.2">
      <c r="A13">
        <f>ROW(Source!A32)</f>
        <v>32</v>
      </c>
      <c r="B13">
        <v>35007309</v>
      </c>
      <c r="C13">
        <v>35007455</v>
      </c>
      <c r="D13">
        <v>31435925</v>
      </c>
      <c r="E13">
        <v>17</v>
      </c>
      <c r="F13">
        <v>1</v>
      </c>
      <c r="G13">
        <v>1</v>
      </c>
      <c r="H13">
        <v>3</v>
      </c>
      <c r="I13" t="s">
        <v>311</v>
      </c>
      <c r="J13" t="s">
        <v>3</v>
      </c>
      <c r="K13" t="s">
        <v>312</v>
      </c>
      <c r="L13">
        <v>1374</v>
      </c>
      <c r="N13">
        <v>1013</v>
      </c>
      <c r="O13" t="s">
        <v>313</v>
      </c>
      <c r="P13" t="s">
        <v>313</v>
      </c>
      <c r="Q13">
        <v>1</v>
      </c>
      <c r="W13">
        <v>0</v>
      </c>
      <c r="X13">
        <v>-1731369543</v>
      </c>
      <c r="Y13">
        <v>8.74</v>
      </c>
      <c r="AA13">
        <v>1</v>
      </c>
      <c r="AB13">
        <v>0</v>
      </c>
      <c r="AC13">
        <v>0</v>
      </c>
      <c r="AD13">
        <v>0</v>
      </c>
      <c r="AE13">
        <v>1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8.74</v>
      </c>
      <c r="AU13" t="s">
        <v>3</v>
      </c>
      <c r="AV13">
        <v>0</v>
      </c>
      <c r="AW13">
        <v>2</v>
      </c>
      <c r="AX13">
        <v>35007934</v>
      </c>
      <c r="AY13">
        <v>1</v>
      </c>
      <c r="AZ13">
        <v>0</v>
      </c>
      <c r="BA13">
        <v>10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Y13*Source!I32</f>
        <v>0.19664999999999999</v>
      </c>
      <c r="CY13">
        <f>AA13</f>
        <v>1</v>
      </c>
      <c r="CZ13">
        <f>AE13</f>
        <v>1</v>
      </c>
      <c r="DA13">
        <f>AI13</f>
        <v>1</v>
      </c>
      <c r="DB13">
        <v>0</v>
      </c>
    </row>
    <row r="14" spans="1:106" x14ac:dyDescent="0.2">
      <c r="A14">
        <f>ROW(Source!A34)</f>
        <v>34</v>
      </c>
      <c r="B14">
        <v>35007309</v>
      </c>
      <c r="C14">
        <v>35007474</v>
      </c>
      <c r="D14">
        <v>31709886</v>
      </c>
      <c r="E14">
        <v>1</v>
      </c>
      <c r="F14">
        <v>1</v>
      </c>
      <c r="G14">
        <v>1</v>
      </c>
      <c r="H14">
        <v>1</v>
      </c>
      <c r="I14" t="s">
        <v>314</v>
      </c>
      <c r="J14" t="s">
        <v>3</v>
      </c>
      <c r="K14" t="s">
        <v>315</v>
      </c>
      <c r="L14">
        <v>1191</v>
      </c>
      <c r="N14">
        <v>1013</v>
      </c>
      <c r="O14" t="s">
        <v>290</v>
      </c>
      <c r="P14" t="s">
        <v>290</v>
      </c>
      <c r="Q14">
        <v>1</v>
      </c>
      <c r="W14">
        <v>0</v>
      </c>
      <c r="X14">
        <v>1069510174</v>
      </c>
      <c r="Y14">
        <v>9.33</v>
      </c>
      <c r="AA14">
        <v>0</v>
      </c>
      <c r="AB14">
        <v>0</v>
      </c>
      <c r="AC14">
        <v>0</v>
      </c>
      <c r="AD14">
        <v>9.6199999999999992</v>
      </c>
      <c r="AE14">
        <v>0</v>
      </c>
      <c r="AF14">
        <v>0</v>
      </c>
      <c r="AG14">
        <v>0</v>
      </c>
      <c r="AH14">
        <v>9.6199999999999992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9.33</v>
      </c>
      <c r="AU14" t="s">
        <v>3</v>
      </c>
      <c r="AV14">
        <v>1</v>
      </c>
      <c r="AW14">
        <v>2</v>
      </c>
      <c r="AX14">
        <v>35007935</v>
      </c>
      <c r="AY14">
        <v>1</v>
      </c>
      <c r="AZ14">
        <v>0</v>
      </c>
      <c r="BA14">
        <v>11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Y14*Source!I34</f>
        <v>4.4783999999999997</v>
      </c>
      <c r="CY14">
        <f>AD14</f>
        <v>9.6199999999999992</v>
      </c>
      <c r="CZ14">
        <f>AH14</f>
        <v>9.6199999999999992</v>
      </c>
      <c r="DA14">
        <f>AL14</f>
        <v>1</v>
      </c>
      <c r="DB14">
        <v>0</v>
      </c>
    </row>
    <row r="15" spans="1:106" x14ac:dyDescent="0.2">
      <c r="A15">
        <f>ROW(Source!A34)</f>
        <v>34</v>
      </c>
      <c r="B15">
        <v>35007309</v>
      </c>
      <c r="C15">
        <v>35007474</v>
      </c>
      <c r="D15">
        <v>31703727</v>
      </c>
      <c r="E15">
        <v>1</v>
      </c>
      <c r="F15">
        <v>1</v>
      </c>
      <c r="G15">
        <v>1</v>
      </c>
      <c r="H15">
        <v>1</v>
      </c>
      <c r="I15" t="s">
        <v>293</v>
      </c>
      <c r="J15" t="s">
        <v>3</v>
      </c>
      <c r="K15" t="s">
        <v>294</v>
      </c>
      <c r="L15">
        <v>1191</v>
      </c>
      <c r="N15">
        <v>1013</v>
      </c>
      <c r="O15" t="s">
        <v>290</v>
      </c>
      <c r="P15" t="s">
        <v>290</v>
      </c>
      <c r="Q15">
        <v>1</v>
      </c>
      <c r="W15">
        <v>0</v>
      </c>
      <c r="X15">
        <v>-1417349443</v>
      </c>
      <c r="Y15">
        <v>0.4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0.4</v>
      </c>
      <c r="AU15" t="s">
        <v>3</v>
      </c>
      <c r="AV15">
        <v>2</v>
      </c>
      <c r="AW15">
        <v>2</v>
      </c>
      <c r="AX15">
        <v>35007936</v>
      </c>
      <c r="AY15">
        <v>1</v>
      </c>
      <c r="AZ15">
        <v>0</v>
      </c>
      <c r="BA15">
        <v>12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Y15*Source!I34</f>
        <v>0.192</v>
      </c>
      <c r="CY15">
        <f>AD15</f>
        <v>0</v>
      </c>
      <c r="CZ15">
        <f>AH15</f>
        <v>0</v>
      </c>
      <c r="DA15">
        <f>AL15</f>
        <v>1</v>
      </c>
      <c r="DB15">
        <v>0</v>
      </c>
    </row>
    <row r="16" spans="1:106" x14ac:dyDescent="0.2">
      <c r="A16">
        <f>ROW(Source!A34)</f>
        <v>34</v>
      </c>
      <c r="B16">
        <v>35007309</v>
      </c>
      <c r="C16">
        <v>35007474</v>
      </c>
      <c r="D16">
        <v>31519244</v>
      </c>
      <c r="E16">
        <v>1</v>
      </c>
      <c r="F16">
        <v>1</v>
      </c>
      <c r="G16">
        <v>1</v>
      </c>
      <c r="H16">
        <v>2</v>
      </c>
      <c r="I16" t="s">
        <v>295</v>
      </c>
      <c r="J16" t="s">
        <v>296</v>
      </c>
      <c r="K16" t="s">
        <v>297</v>
      </c>
      <c r="L16">
        <v>1368</v>
      </c>
      <c r="N16">
        <v>1011</v>
      </c>
      <c r="O16" t="s">
        <v>298</v>
      </c>
      <c r="P16" t="s">
        <v>298</v>
      </c>
      <c r="Q16">
        <v>1</v>
      </c>
      <c r="W16">
        <v>0</v>
      </c>
      <c r="X16">
        <v>-1718674368</v>
      </c>
      <c r="Y16">
        <v>0.2</v>
      </c>
      <c r="AA16">
        <v>0</v>
      </c>
      <c r="AB16">
        <v>111.99</v>
      </c>
      <c r="AC16">
        <v>13.5</v>
      </c>
      <c r="AD16">
        <v>0</v>
      </c>
      <c r="AE16">
        <v>0</v>
      </c>
      <c r="AF16">
        <v>111.99</v>
      </c>
      <c r="AG16">
        <v>13.5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0.2</v>
      </c>
      <c r="AU16" t="s">
        <v>3</v>
      </c>
      <c r="AV16">
        <v>0</v>
      </c>
      <c r="AW16">
        <v>2</v>
      </c>
      <c r="AX16">
        <v>35007937</v>
      </c>
      <c r="AY16">
        <v>1</v>
      </c>
      <c r="AZ16">
        <v>0</v>
      </c>
      <c r="BA16">
        <v>13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Y16*Source!I34</f>
        <v>9.6000000000000002E-2</v>
      </c>
      <c r="CY16">
        <f>AB16</f>
        <v>111.99</v>
      </c>
      <c r="CZ16">
        <f>AF16</f>
        <v>111.99</v>
      </c>
      <c r="DA16">
        <f>AJ16</f>
        <v>1</v>
      </c>
      <c r="DB16">
        <v>0</v>
      </c>
    </row>
    <row r="17" spans="1:106" x14ac:dyDescent="0.2">
      <c r="A17">
        <f>ROW(Source!A34)</f>
        <v>34</v>
      </c>
      <c r="B17">
        <v>35007309</v>
      </c>
      <c r="C17">
        <v>35007474</v>
      </c>
      <c r="D17">
        <v>31519376</v>
      </c>
      <c r="E17">
        <v>1</v>
      </c>
      <c r="F17">
        <v>1</v>
      </c>
      <c r="G17">
        <v>1</v>
      </c>
      <c r="H17">
        <v>2</v>
      </c>
      <c r="I17" t="s">
        <v>316</v>
      </c>
      <c r="J17" t="s">
        <v>317</v>
      </c>
      <c r="K17" t="s">
        <v>318</v>
      </c>
      <c r="L17">
        <v>1368</v>
      </c>
      <c r="N17">
        <v>1011</v>
      </c>
      <c r="O17" t="s">
        <v>298</v>
      </c>
      <c r="P17" t="s">
        <v>298</v>
      </c>
      <c r="Q17">
        <v>1</v>
      </c>
      <c r="W17">
        <v>0</v>
      </c>
      <c r="X17">
        <v>-1692889495</v>
      </c>
      <c r="Y17">
        <v>2.2000000000000002</v>
      </c>
      <c r="AA17">
        <v>0</v>
      </c>
      <c r="AB17">
        <v>0.9</v>
      </c>
      <c r="AC17">
        <v>0</v>
      </c>
      <c r="AD17">
        <v>0</v>
      </c>
      <c r="AE17">
        <v>0</v>
      </c>
      <c r="AF17">
        <v>0.9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2.2000000000000002</v>
      </c>
      <c r="AU17" t="s">
        <v>3</v>
      </c>
      <c r="AV17">
        <v>0</v>
      </c>
      <c r="AW17">
        <v>2</v>
      </c>
      <c r="AX17">
        <v>35007938</v>
      </c>
      <c r="AY17">
        <v>1</v>
      </c>
      <c r="AZ17">
        <v>0</v>
      </c>
      <c r="BA17">
        <v>14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Y17*Source!I34</f>
        <v>1.056</v>
      </c>
      <c r="CY17">
        <f>AB17</f>
        <v>0.9</v>
      </c>
      <c r="CZ17">
        <f>AF17</f>
        <v>0.9</v>
      </c>
      <c r="DA17">
        <f>AJ17</f>
        <v>1</v>
      </c>
      <c r="DB17">
        <v>0</v>
      </c>
    </row>
    <row r="18" spans="1:106" x14ac:dyDescent="0.2">
      <c r="A18">
        <f>ROW(Source!A34)</f>
        <v>34</v>
      </c>
      <c r="B18">
        <v>35007309</v>
      </c>
      <c r="C18">
        <v>35007474</v>
      </c>
      <c r="D18">
        <v>31519441</v>
      </c>
      <c r="E18">
        <v>1</v>
      </c>
      <c r="F18">
        <v>1</v>
      </c>
      <c r="G18">
        <v>1</v>
      </c>
      <c r="H18">
        <v>2</v>
      </c>
      <c r="I18" t="s">
        <v>319</v>
      </c>
      <c r="J18" t="s">
        <v>320</v>
      </c>
      <c r="K18" t="s">
        <v>321</v>
      </c>
      <c r="L18">
        <v>1368</v>
      </c>
      <c r="N18">
        <v>1011</v>
      </c>
      <c r="O18" t="s">
        <v>298</v>
      </c>
      <c r="P18" t="s">
        <v>298</v>
      </c>
      <c r="Q18">
        <v>1</v>
      </c>
      <c r="W18">
        <v>0</v>
      </c>
      <c r="X18">
        <v>941837819</v>
      </c>
      <c r="Y18">
        <v>2.2000000000000002</v>
      </c>
      <c r="AA18">
        <v>0</v>
      </c>
      <c r="AB18">
        <v>3.28</v>
      </c>
      <c r="AC18">
        <v>0</v>
      </c>
      <c r="AD18">
        <v>0</v>
      </c>
      <c r="AE18">
        <v>0</v>
      </c>
      <c r="AF18">
        <v>3.28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2.2000000000000002</v>
      </c>
      <c r="AU18" t="s">
        <v>3</v>
      </c>
      <c r="AV18">
        <v>0</v>
      </c>
      <c r="AW18">
        <v>2</v>
      </c>
      <c r="AX18">
        <v>35007939</v>
      </c>
      <c r="AY18">
        <v>1</v>
      </c>
      <c r="AZ18">
        <v>0</v>
      </c>
      <c r="BA18">
        <v>15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Y18*Source!I34</f>
        <v>1.056</v>
      </c>
      <c r="CY18">
        <f>AB18</f>
        <v>3.28</v>
      </c>
      <c r="CZ18">
        <f>AF18</f>
        <v>3.28</v>
      </c>
      <c r="DA18">
        <f>AJ18</f>
        <v>1</v>
      </c>
      <c r="DB18">
        <v>0</v>
      </c>
    </row>
    <row r="19" spans="1:106" x14ac:dyDescent="0.2">
      <c r="A19">
        <f>ROW(Source!A34)</f>
        <v>34</v>
      </c>
      <c r="B19">
        <v>35007309</v>
      </c>
      <c r="C19">
        <v>35007474</v>
      </c>
      <c r="D19">
        <v>31520646</v>
      </c>
      <c r="E19">
        <v>1</v>
      </c>
      <c r="F19">
        <v>1</v>
      </c>
      <c r="G19">
        <v>1</v>
      </c>
      <c r="H19">
        <v>2</v>
      </c>
      <c r="I19" t="s">
        <v>299</v>
      </c>
      <c r="J19" t="s">
        <v>300</v>
      </c>
      <c r="K19" t="s">
        <v>301</v>
      </c>
      <c r="L19">
        <v>1368</v>
      </c>
      <c r="N19">
        <v>1011</v>
      </c>
      <c r="O19" t="s">
        <v>298</v>
      </c>
      <c r="P19" t="s">
        <v>298</v>
      </c>
      <c r="Q19">
        <v>1</v>
      </c>
      <c r="W19">
        <v>0</v>
      </c>
      <c r="X19">
        <v>1372534845</v>
      </c>
      <c r="Y19">
        <v>0.2</v>
      </c>
      <c r="AA19">
        <v>0</v>
      </c>
      <c r="AB19">
        <v>65.709999999999994</v>
      </c>
      <c r="AC19">
        <v>11.6</v>
      </c>
      <c r="AD19">
        <v>0</v>
      </c>
      <c r="AE19">
        <v>0</v>
      </c>
      <c r="AF19">
        <v>65.709999999999994</v>
      </c>
      <c r="AG19">
        <v>11.6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0.2</v>
      </c>
      <c r="AU19" t="s">
        <v>3</v>
      </c>
      <c r="AV19">
        <v>0</v>
      </c>
      <c r="AW19">
        <v>2</v>
      </c>
      <c r="AX19">
        <v>35007940</v>
      </c>
      <c r="AY19">
        <v>1</v>
      </c>
      <c r="AZ19">
        <v>0</v>
      </c>
      <c r="BA19">
        <v>16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Y19*Source!I34</f>
        <v>9.6000000000000002E-2</v>
      </c>
      <c r="CY19">
        <f>AB19</f>
        <v>65.709999999999994</v>
      </c>
      <c r="CZ19">
        <f>AF19</f>
        <v>65.709999999999994</v>
      </c>
      <c r="DA19">
        <f>AJ19</f>
        <v>1</v>
      </c>
      <c r="DB19">
        <v>0</v>
      </c>
    </row>
    <row r="20" spans="1:106" x14ac:dyDescent="0.2">
      <c r="A20">
        <f>ROW(Source!A34)</f>
        <v>34</v>
      </c>
      <c r="B20">
        <v>35007309</v>
      </c>
      <c r="C20">
        <v>35007474</v>
      </c>
      <c r="D20">
        <v>31438964</v>
      </c>
      <c r="E20">
        <v>1</v>
      </c>
      <c r="F20">
        <v>1</v>
      </c>
      <c r="G20">
        <v>1</v>
      </c>
      <c r="H20">
        <v>3</v>
      </c>
      <c r="I20" t="s">
        <v>322</v>
      </c>
      <c r="J20" t="s">
        <v>323</v>
      </c>
      <c r="K20" t="s">
        <v>324</v>
      </c>
      <c r="L20">
        <v>1308</v>
      </c>
      <c r="N20">
        <v>1003</v>
      </c>
      <c r="O20" t="s">
        <v>57</v>
      </c>
      <c r="P20" t="s">
        <v>57</v>
      </c>
      <c r="Q20">
        <v>100</v>
      </c>
      <c r="W20">
        <v>0</v>
      </c>
      <c r="X20">
        <v>568244124</v>
      </c>
      <c r="Y20">
        <v>2.4500000000000001E-2</v>
      </c>
      <c r="AA20">
        <v>538.79999999999995</v>
      </c>
      <c r="AB20">
        <v>0</v>
      </c>
      <c r="AC20">
        <v>0</v>
      </c>
      <c r="AD20">
        <v>0</v>
      </c>
      <c r="AE20">
        <v>120</v>
      </c>
      <c r="AF20">
        <v>0</v>
      </c>
      <c r="AG20">
        <v>0</v>
      </c>
      <c r="AH20">
        <v>0</v>
      </c>
      <c r="AI20">
        <v>4.49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2.4500000000000001E-2</v>
      </c>
      <c r="AU20" t="s">
        <v>3</v>
      </c>
      <c r="AV20">
        <v>0</v>
      </c>
      <c r="AW20">
        <v>2</v>
      </c>
      <c r="AX20">
        <v>35007941</v>
      </c>
      <c r="AY20">
        <v>1</v>
      </c>
      <c r="AZ20">
        <v>0</v>
      </c>
      <c r="BA20">
        <v>17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Y20*Source!I34</f>
        <v>1.176E-2</v>
      </c>
      <c r="CY20">
        <f t="shared" ref="CY20:CY25" si="0">AA20</f>
        <v>538.79999999999995</v>
      </c>
      <c r="CZ20">
        <f t="shared" ref="CZ20:CZ25" si="1">AE20</f>
        <v>120</v>
      </c>
      <c r="DA20">
        <f t="shared" ref="DA20:DA25" si="2">AI20</f>
        <v>4.49</v>
      </c>
      <c r="DB20">
        <v>0</v>
      </c>
    </row>
    <row r="21" spans="1:106" x14ac:dyDescent="0.2">
      <c r="A21">
        <f>ROW(Source!A34)</f>
        <v>34</v>
      </c>
      <c r="B21">
        <v>35007309</v>
      </c>
      <c r="C21">
        <v>35007474</v>
      </c>
      <c r="D21">
        <v>31441802</v>
      </c>
      <c r="E21">
        <v>1</v>
      </c>
      <c r="F21">
        <v>1</v>
      </c>
      <c r="G21">
        <v>1</v>
      </c>
      <c r="H21">
        <v>3</v>
      </c>
      <c r="I21" t="s">
        <v>325</v>
      </c>
      <c r="J21" t="s">
        <v>326</v>
      </c>
      <c r="K21" t="s">
        <v>327</v>
      </c>
      <c r="L21">
        <v>1348</v>
      </c>
      <c r="N21">
        <v>1009</v>
      </c>
      <c r="O21" t="s">
        <v>44</v>
      </c>
      <c r="P21" t="s">
        <v>44</v>
      </c>
      <c r="Q21">
        <v>1000</v>
      </c>
      <c r="W21">
        <v>0</v>
      </c>
      <c r="X21">
        <v>-1755229539</v>
      </c>
      <c r="Y21">
        <v>1.1E-4</v>
      </c>
      <c r="AA21">
        <v>89993.2</v>
      </c>
      <c r="AB21">
        <v>0</v>
      </c>
      <c r="AC21">
        <v>0</v>
      </c>
      <c r="AD21">
        <v>0</v>
      </c>
      <c r="AE21">
        <v>12430</v>
      </c>
      <c r="AF21">
        <v>0</v>
      </c>
      <c r="AG21">
        <v>0</v>
      </c>
      <c r="AH21">
        <v>0</v>
      </c>
      <c r="AI21">
        <v>7.24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1.1E-4</v>
      </c>
      <c r="AU21" t="s">
        <v>3</v>
      </c>
      <c r="AV21">
        <v>0</v>
      </c>
      <c r="AW21">
        <v>2</v>
      </c>
      <c r="AX21">
        <v>35007942</v>
      </c>
      <c r="AY21">
        <v>1</v>
      </c>
      <c r="AZ21">
        <v>0</v>
      </c>
      <c r="BA21">
        <v>18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Y21*Source!I34</f>
        <v>5.2800000000000003E-5</v>
      </c>
      <c r="CY21">
        <f t="shared" si="0"/>
        <v>89993.2</v>
      </c>
      <c r="CZ21">
        <f t="shared" si="1"/>
        <v>12430</v>
      </c>
      <c r="DA21">
        <f t="shared" si="2"/>
        <v>7.24</v>
      </c>
      <c r="DB21">
        <v>0</v>
      </c>
    </row>
    <row r="22" spans="1:106" x14ac:dyDescent="0.2">
      <c r="A22">
        <f>ROW(Source!A34)</f>
        <v>34</v>
      </c>
      <c r="B22">
        <v>35007309</v>
      </c>
      <c r="C22">
        <v>35007474</v>
      </c>
      <c r="D22">
        <v>31466422</v>
      </c>
      <c r="E22">
        <v>1</v>
      </c>
      <c r="F22">
        <v>1</v>
      </c>
      <c r="G22">
        <v>1</v>
      </c>
      <c r="H22">
        <v>3</v>
      </c>
      <c r="I22" t="s">
        <v>328</v>
      </c>
      <c r="J22" t="s">
        <v>329</v>
      </c>
      <c r="K22" t="s">
        <v>330</v>
      </c>
      <c r="L22">
        <v>1346</v>
      </c>
      <c r="N22">
        <v>1009</v>
      </c>
      <c r="O22" t="s">
        <v>121</v>
      </c>
      <c r="P22" t="s">
        <v>121</v>
      </c>
      <c r="Q22">
        <v>1</v>
      </c>
      <c r="W22">
        <v>0</v>
      </c>
      <c r="X22">
        <v>1391681712</v>
      </c>
      <c r="Y22">
        <v>0.26</v>
      </c>
      <c r="AA22">
        <v>600.88</v>
      </c>
      <c r="AB22">
        <v>0</v>
      </c>
      <c r="AC22">
        <v>0</v>
      </c>
      <c r="AD22">
        <v>0</v>
      </c>
      <c r="AE22">
        <v>68.05</v>
      </c>
      <c r="AF22">
        <v>0</v>
      </c>
      <c r="AG22">
        <v>0</v>
      </c>
      <c r="AH22">
        <v>0</v>
      </c>
      <c r="AI22">
        <v>8.83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0.26</v>
      </c>
      <c r="AU22" t="s">
        <v>3</v>
      </c>
      <c r="AV22">
        <v>0</v>
      </c>
      <c r="AW22">
        <v>2</v>
      </c>
      <c r="AX22">
        <v>35007943</v>
      </c>
      <c r="AY22">
        <v>1</v>
      </c>
      <c r="AZ22">
        <v>0</v>
      </c>
      <c r="BA22">
        <v>19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Y22*Source!I34</f>
        <v>0.12479999999999999</v>
      </c>
      <c r="CY22">
        <f t="shared" si="0"/>
        <v>600.88</v>
      </c>
      <c r="CZ22">
        <f t="shared" si="1"/>
        <v>68.05</v>
      </c>
      <c r="DA22">
        <f t="shared" si="2"/>
        <v>8.83</v>
      </c>
      <c r="DB22">
        <v>0</v>
      </c>
    </row>
    <row r="23" spans="1:106" x14ac:dyDescent="0.2">
      <c r="A23">
        <f>ROW(Source!A34)</f>
        <v>34</v>
      </c>
      <c r="B23">
        <v>35007309</v>
      </c>
      <c r="C23">
        <v>35007474</v>
      </c>
      <c r="D23">
        <v>31475248</v>
      </c>
      <c r="E23">
        <v>1</v>
      </c>
      <c r="F23">
        <v>1</v>
      </c>
      <c r="G23">
        <v>1</v>
      </c>
      <c r="H23">
        <v>3</v>
      </c>
      <c r="I23" t="s">
        <v>331</v>
      </c>
      <c r="J23" t="s">
        <v>332</v>
      </c>
      <c r="K23" t="s">
        <v>333</v>
      </c>
      <c r="L23">
        <v>1348</v>
      </c>
      <c r="N23">
        <v>1009</v>
      </c>
      <c r="O23" t="s">
        <v>44</v>
      </c>
      <c r="P23" t="s">
        <v>44</v>
      </c>
      <c r="Q23">
        <v>1000</v>
      </c>
      <c r="W23">
        <v>0</v>
      </c>
      <c r="X23">
        <v>-108263514</v>
      </c>
      <c r="Y23">
        <v>7.2000000000000005E-4</v>
      </c>
      <c r="AA23">
        <v>74903.429999999993</v>
      </c>
      <c r="AB23">
        <v>0</v>
      </c>
      <c r="AC23">
        <v>0</v>
      </c>
      <c r="AD23">
        <v>0</v>
      </c>
      <c r="AE23">
        <v>7826.9</v>
      </c>
      <c r="AF23">
        <v>0</v>
      </c>
      <c r="AG23">
        <v>0</v>
      </c>
      <c r="AH23">
        <v>0</v>
      </c>
      <c r="AI23">
        <v>9.57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7.2000000000000005E-4</v>
      </c>
      <c r="AU23" t="s">
        <v>3</v>
      </c>
      <c r="AV23">
        <v>0</v>
      </c>
      <c r="AW23">
        <v>2</v>
      </c>
      <c r="AX23">
        <v>35007944</v>
      </c>
      <c r="AY23">
        <v>1</v>
      </c>
      <c r="AZ23">
        <v>0</v>
      </c>
      <c r="BA23">
        <v>20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Y23*Source!I34</f>
        <v>3.456E-4</v>
      </c>
      <c r="CY23">
        <f t="shared" si="0"/>
        <v>74903.429999999993</v>
      </c>
      <c r="CZ23">
        <f t="shared" si="1"/>
        <v>7826.9</v>
      </c>
      <c r="DA23">
        <f t="shared" si="2"/>
        <v>9.57</v>
      </c>
      <c r="DB23">
        <v>0</v>
      </c>
    </row>
    <row r="24" spans="1:106" x14ac:dyDescent="0.2">
      <c r="A24">
        <f>ROW(Source!A34)</f>
        <v>34</v>
      </c>
      <c r="B24">
        <v>35007309</v>
      </c>
      <c r="C24">
        <v>35007474</v>
      </c>
      <c r="D24">
        <v>31494133</v>
      </c>
      <c r="E24">
        <v>1</v>
      </c>
      <c r="F24">
        <v>1</v>
      </c>
      <c r="G24">
        <v>1</v>
      </c>
      <c r="H24">
        <v>3</v>
      </c>
      <c r="I24" t="s">
        <v>60</v>
      </c>
      <c r="J24" t="s">
        <v>63</v>
      </c>
      <c r="K24" t="s">
        <v>61</v>
      </c>
      <c r="L24">
        <v>1477</v>
      </c>
      <c r="N24">
        <v>1013</v>
      </c>
      <c r="O24" t="s">
        <v>62</v>
      </c>
      <c r="P24" t="s">
        <v>64</v>
      </c>
      <c r="Q24">
        <v>1</v>
      </c>
      <c r="W24">
        <v>0</v>
      </c>
      <c r="X24">
        <v>1555712430</v>
      </c>
      <c r="Y24">
        <v>0.10199999999999999</v>
      </c>
      <c r="AA24">
        <v>178311.57</v>
      </c>
      <c r="AB24">
        <v>0</v>
      </c>
      <c r="AC24">
        <v>0</v>
      </c>
      <c r="AD24">
        <v>0</v>
      </c>
      <c r="AE24">
        <v>41759.15</v>
      </c>
      <c r="AF24">
        <v>0</v>
      </c>
      <c r="AG24">
        <v>0</v>
      </c>
      <c r="AH24">
        <v>0</v>
      </c>
      <c r="AI24">
        <v>4.2699999999999996</v>
      </c>
      <c r="AJ24">
        <v>1</v>
      </c>
      <c r="AK24">
        <v>1</v>
      </c>
      <c r="AL24">
        <v>1</v>
      </c>
      <c r="AN24">
        <v>0</v>
      </c>
      <c r="AO24">
        <v>0</v>
      </c>
      <c r="AP24">
        <v>0</v>
      </c>
      <c r="AQ24">
        <v>0</v>
      </c>
      <c r="AR24">
        <v>0</v>
      </c>
      <c r="AS24" t="s">
        <v>3</v>
      </c>
      <c r="AT24">
        <v>0.10199999999999999</v>
      </c>
      <c r="AU24" t="s">
        <v>3</v>
      </c>
      <c r="AV24">
        <v>1</v>
      </c>
      <c r="AW24">
        <v>1</v>
      </c>
      <c r="AX24">
        <v>-1</v>
      </c>
      <c r="AY24">
        <v>0</v>
      </c>
      <c r="AZ24">
        <v>0</v>
      </c>
      <c r="BA24" t="s">
        <v>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Y24*Source!I34</f>
        <v>4.8959999999999997E-2</v>
      </c>
      <c r="CY24">
        <f t="shared" si="0"/>
        <v>178311.57</v>
      </c>
      <c r="CZ24">
        <f t="shared" si="1"/>
        <v>41759.15</v>
      </c>
      <c r="DA24">
        <f t="shared" si="2"/>
        <v>4.2699999999999996</v>
      </c>
      <c r="DB24">
        <v>0</v>
      </c>
    </row>
    <row r="25" spans="1:106" x14ac:dyDescent="0.2">
      <c r="A25">
        <f>ROW(Source!A34)</f>
        <v>34</v>
      </c>
      <c r="B25">
        <v>35007309</v>
      </c>
      <c r="C25">
        <v>35007474</v>
      </c>
      <c r="D25">
        <v>31435925</v>
      </c>
      <c r="E25">
        <v>17</v>
      </c>
      <c r="F25">
        <v>1</v>
      </c>
      <c r="G25">
        <v>1</v>
      </c>
      <c r="H25">
        <v>3</v>
      </c>
      <c r="I25" t="s">
        <v>311</v>
      </c>
      <c r="J25" t="s">
        <v>3</v>
      </c>
      <c r="K25" t="s">
        <v>312</v>
      </c>
      <c r="L25">
        <v>1374</v>
      </c>
      <c r="N25">
        <v>1013</v>
      </c>
      <c r="O25" t="s">
        <v>313</v>
      </c>
      <c r="P25" t="s">
        <v>313</v>
      </c>
      <c r="Q25">
        <v>1</v>
      </c>
      <c r="W25">
        <v>0</v>
      </c>
      <c r="X25">
        <v>-1731369543</v>
      </c>
      <c r="Y25">
        <v>1.8</v>
      </c>
      <c r="AA25">
        <v>1</v>
      </c>
      <c r="AB25">
        <v>0</v>
      </c>
      <c r="AC25">
        <v>0</v>
      </c>
      <c r="AD25">
        <v>0</v>
      </c>
      <c r="AE25">
        <v>1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1.8</v>
      </c>
      <c r="AU25" t="s">
        <v>3</v>
      </c>
      <c r="AV25">
        <v>0</v>
      </c>
      <c r="AW25">
        <v>2</v>
      </c>
      <c r="AX25">
        <v>35007945</v>
      </c>
      <c r="AY25">
        <v>1</v>
      </c>
      <c r="AZ25">
        <v>0</v>
      </c>
      <c r="BA25">
        <v>21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Y25*Source!I34</f>
        <v>0.86399999999999999</v>
      </c>
      <c r="CY25">
        <f t="shared" si="0"/>
        <v>1</v>
      </c>
      <c r="CZ25">
        <f t="shared" si="1"/>
        <v>1</v>
      </c>
      <c r="DA25">
        <f t="shared" si="2"/>
        <v>1</v>
      </c>
      <c r="DB25">
        <v>0</v>
      </c>
    </row>
    <row r="26" spans="1:106" x14ac:dyDescent="0.2">
      <c r="A26">
        <f>ROW(Source!A36)</f>
        <v>36</v>
      </c>
      <c r="B26">
        <v>35007309</v>
      </c>
      <c r="C26">
        <v>35007497</v>
      </c>
      <c r="D26">
        <v>31709886</v>
      </c>
      <c r="E26">
        <v>1</v>
      </c>
      <c r="F26">
        <v>1</v>
      </c>
      <c r="G26">
        <v>1</v>
      </c>
      <c r="H26">
        <v>1</v>
      </c>
      <c r="I26" t="s">
        <v>314</v>
      </c>
      <c r="J26" t="s">
        <v>3</v>
      </c>
      <c r="K26" t="s">
        <v>315</v>
      </c>
      <c r="L26">
        <v>1191</v>
      </c>
      <c r="N26">
        <v>1013</v>
      </c>
      <c r="O26" t="s">
        <v>290</v>
      </c>
      <c r="P26" t="s">
        <v>290</v>
      </c>
      <c r="Q26">
        <v>1</v>
      </c>
      <c r="W26">
        <v>0</v>
      </c>
      <c r="X26">
        <v>1069510174</v>
      </c>
      <c r="Y26">
        <v>9.33</v>
      </c>
      <c r="AA26">
        <v>0</v>
      </c>
      <c r="AB26">
        <v>0</v>
      </c>
      <c r="AC26">
        <v>0</v>
      </c>
      <c r="AD26">
        <v>9.6199999999999992</v>
      </c>
      <c r="AE26">
        <v>0</v>
      </c>
      <c r="AF26">
        <v>0</v>
      </c>
      <c r="AG26">
        <v>0</v>
      </c>
      <c r="AH26">
        <v>9.6199999999999992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9.33</v>
      </c>
      <c r="AU26" t="s">
        <v>3</v>
      </c>
      <c r="AV26">
        <v>1</v>
      </c>
      <c r="AW26">
        <v>2</v>
      </c>
      <c r="AX26">
        <v>35007946</v>
      </c>
      <c r="AY26">
        <v>1</v>
      </c>
      <c r="AZ26">
        <v>0</v>
      </c>
      <c r="BA26">
        <v>22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Y26*Source!I36</f>
        <v>4.665</v>
      </c>
      <c r="CY26">
        <f>AD26</f>
        <v>9.6199999999999992</v>
      </c>
      <c r="CZ26">
        <f>AH26</f>
        <v>9.6199999999999992</v>
      </c>
      <c r="DA26">
        <f>AL26</f>
        <v>1</v>
      </c>
      <c r="DB26">
        <v>0</v>
      </c>
    </row>
    <row r="27" spans="1:106" x14ac:dyDescent="0.2">
      <c r="A27">
        <f>ROW(Source!A36)</f>
        <v>36</v>
      </c>
      <c r="B27">
        <v>35007309</v>
      </c>
      <c r="C27">
        <v>35007497</v>
      </c>
      <c r="D27">
        <v>31703727</v>
      </c>
      <c r="E27">
        <v>1</v>
      </c>
      <c r="F27">
        <v>1</v>
      </c>
      <c r="G27">
        <v>1</v>
      </c>
      <c r="H27">
        <v>1</v>
      </c>
      <c r="I27" t="s">
        <v>293</v>
      </c>
      <c r="J27" t="s">
        <v>3</v>
      </c>
      <c r="K27" t="s">
        <v>294</v>
      </c>
      <c r="L27">
        <v>1191</v>
      </c>
      <c r="N27">
        <v>1013</v>
      </c>
      <c r="O27" t="s">
        <v>290</v>
      </c>
      <c r="P27" t="s">
        <v>290</v>
      </c>
      <c r="Q27">
        <v>1</v>
      </c>
      <c r="W27">
        <v>0</v>
      </c>
      <c r="X27">
        <v>-1417349443</v>
      </c>
      <c r="Y27">
        <v>0.4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0.4</v>
      </c>
      <c r="AU27" t="s">
        <v>3</v>
      </c>
      <c r="AV27">
        <v>2</v>
      </c>
      <c r="AW27">
        <v>2</v>
      </c>
      <c r="AX27">
        <v>35007947</v>
      </c>
      <c r="AY27">
        <v>1</v>
      </c>
      <c r="AZ27">
        <v>0</v>
      </c>
      <c r="BA27">
        <v>23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Y27*Source!I36</f>
        <v>0.2</v>
      </c>
      <c r="CY27">
        <f>AD27</f>
        <v>0</v>
      </c>
      <c r="CZ27">
        <f>AH27</f>
        <v>0</v>
      </c>
      <c r="DA27">
        <f>AL27</f>
        <v>1</v>
      </c>
      <c r="DB27">
        <v>0</v>
      </c>
    </row>
    <row r="28" spans="1:106" x14ac:dyDescent="0.2">
      <c r="A28">
        <f>ROW(Source!A36)</f>
        <v>36</v>
      </c>
      <c r="B28">
        <v>35007309</v>
      </c>
      <c r="C28">
        <v>35007497</v>
      </c>
      <c r="D28">
        <v>31519244</v>
      </c>
      <c r="E28">
        <v>1</v>
      </c>
      <c r="F28">
        <v>1</v>
      </c>
      <c r="G28">
        <v>1</v>
      </c>
      <c r="H28">
        <v>2</v>
      </c>
      <c r="I28" t="s">
        <v>295</v>
      </c>
      <c r="J28" t="s">
        <v>296</v>
      </c>
      <c r="K28" t="s">
        <v>297</v>
      </c>
      <c r="L28">
        <v>1368</v>
      </c>
      <c r="N28">
        <v>1011</v>
      </c>
      <c r="O28" t="s">
        <v>298</v>
      </c>
      <c r="P28" t="s">
        <v>298</v>
      </c>
      <c r="Q28">
        <v>1</v>
      </c>
      <c r="W28">
        <v>0</v>
      </c>
      <c r="X28">
        <v>-1718674368</v>
      </c>
      <c r="Y28">
        <v>0.2</v>
      </c>
      <c r="AA28">
        <v>0</v>
      </c>
      <c r="AB28">
        <v>111.99</v>
      </c>
      <c r="AC28">
        <v>13.5</v>
      </c>
      <c r="AD28">
        <v>0</v>
      </c>
      <c r="AE28">
        <v>0</v>
      </c>
      <c r="AF28">
        <v>111.99</v>
      </c>
      <c r="AG28">
        <v>13.5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0.2</v>
      </c>
      <c r="AU28" t="s">
        <v>3</v>
      </c>
      <c r="AV28">
        <v>0</v>
      </c>
      <c r="AW28">
        <v>2</v>
      </c>
      <c r="AX28">
        <v>35007948</v>
      </c>
      <c r="AY28">
        <v>1</v>
      </c>
      <c r="AZ28">
        <v>0</v>
      </c>
      <c r="BA28">
        <v>24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Y28*Source!I36</f>
        <v>0.1</v>
      </c>
      <c r="CY28">
        <f>AB28</f>
        <v>111.99</v>
      </c>
      <c r="CZ28">
        <f>AF28</f>
        <v>111.99</v>
      </c>
      <c r="DA28">
        <f>AJ28</f>
        <v>1</v>
      </c>
      <c r="DB28">
        <v>0</v>
      </c>
    </row>
    <row r="29" spans="1:106" x14ac:dyDescent="0.2">
      <c r="A29">
        <f>ROW(Source!A36)</f>
        <v>36</v>
      </c>
      <c r="B29">
        <v>35007309</v>
      </c>
      <c r="C29">
        <v>35007497</v>
      </c>
      <c r="D29">
        <v>31519376</v>
      </c>
      <c r="E29">
        <v>1</v>
      </c>
      <c r="F29">
        <v>1</v>
      </c>
      <c r="G29">
        <v>1</v>
      </c>
      <c r="H29">
        <v>2</v>
      </c>
      <c r="I29" t="s">
        <v>316</v>
      </c>
      <c r="J29" t="s">
        <v>317</v>
      </c>
      <c r="K29" t="s">
        <v>318</v>
      </c>
      <c r="L29">
        <v>1368</v>
      </c>
      <c r="N29">
        <v>1011</v>
      </c>
      <c r="O29" t="s">
        <v>298</v>
      </c>
      <c r="P29" t="s">
        <v>298</v>
      </c>
      <c r="Q29">
        <v>1</v>
      </c>
      <c r="W29">
        <v>0</v>
      </c>
      <c r="X29">
        <v>-1692889495</v>
      </c>
      <c r="Y29">
        <v>2.2000000000000002</v>
      </c>
      <c r="AA29">
        <v>0</v>
      </c>
      <c r="AB29">
        <v>0.9</v>
      </c>
      <c r="AC29">
        <v>0</v>
      </c>
      <c r="AD29">
        <v>0</v>
      </c>
      <c r="AE29">
        <v>0</v>
      </c>
      <c r="AF29">
        <v>0.9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2.2000000000000002</v>
      </c>
      <c r="AU29" t="s">
        <v>3</v>
      </c>
      <c r="AV29">
        <v>0</v>
      </c>
      <c r="AW29">
        <v>2</v>
      </c>
      <c r="AX29">
        <v>35007949</v>
      </c>
      <c r="AY29">
        <v>1</v>
      </c>
      <c r="AZ29">
        <v>0</v>
      </c>
      <c r="BA29">
        <v>25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Y29*Source!I36</f>
        <v>1.1000000000000001</v>
      </c>
      <c r="CY29">
        <f>AB29</f>
        <v>0.9</v>
      </c>
      <c r="CZ29">
        <f>AF29</f>
        <v>0.9</v>
      </c>
      <c r="DA29">
        <f>AJ29</f>
        <v>1</v>
      </c>
      <c r="DB29">
        <v>0</v>
      </c>
    </row>
    <row r="30" spans="1:106" x14ac:dyDescent="0.2">
      <c r="A30">
        <f>ROW(Source!A36)</f>
        <v>36</v>
      </c>
      <c r="B30">
        <v>35007309</v>
      </c>
      <c r="C30">
        <v>35007497</v>
      </c>
      <c r="D30">
        <v>31519441</v>
      </c>
      <c r="E30">
        <v>1</v>
      </c>
      <c r="F30">
        <v>1</v>
      </c>
      <c r="G30">
        <v>1</v>
      </c>
      <c r="H30">
        <v>2</v>
      </c>
      <c r="I30" t="s">
        <v>319</v>
      </c>
      <c r="J30" t="s">
        <v>320</v>
      </c>
      <c r="K30" t="s">
        <v>321</v>
      </c>
      <c r="L30">
        <v>1368</v>
      </c>
      <c r="N30">
        <v>1011</v>
      </c>
      <c r="O30" t="s">
        <v>298</v>
      </c>
      <c r="P30" t="s">
        <v>298</v>
      </c>
      <c r="Q30">
        <v>1</v>
      </c>
      <c r="W30">
        <v>0</v>
      </c>
      <c r="X30">
        <v>941837819</v>
      </c>
      <c r="Y30">
        <v>2.2000000000000002</v>
      </c>
      <c r="AA30">
        <v>0</v>
      </c>
      <c r="AB30">
        <v>3.28</v>
      </c>
      <c r="AC30">
        <v>0</v>
      </c>
      <c r="AD30">
        <v>0</v>
      </c>
      <c r="AE30">
        <v>0</v>
      </c>
      <c r="AF30">
        <v>3.28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2.2000000000000002</v>
      </c>
      <c r="AU30" t="s">
        <v>3</v>
      </c>
      <c r="AV30">
        <v>0</v>
      </c>
      <c r="AW30">
        <v>2</v>
      </c>
      <c r="AX30">
        <v>35007950</v>
      </c>
      <c r="AY30">
        <v>1</v>
      </c>
      <c r="AZ30">
        <v>0</v>
      </c>
      <c r="BA30">
        <v>26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Y30*Source!I36</f>
        <v>1.1000000000000001</v>
      </c>
      <c r="CY30">
        <f>AB30</f>
        <v>3.28</v>
      </c>
      <c r="CZ30">
        <f>AF30</f>
        <v>3.28</v>
      </c>
      <c r="DA30">
        <f>AJ30</f>
        <v>1</v>
      </c>
      <c r="DB30">
        <v>0</v>
      </c>
    </row>
    <row r="31" spans="1:106" x14ac:dyDescent="0.2">
      <c r="A31">
        <f>ROW(Source!A36)</f>
        <v>36</v>
      </c>
      <c r="B31">
        <v>35007309</v>
      </c>
      <c r="C31">
        <v>35007497</v>
      </c>
      <c r="D31">
        <v>31520646</v>
      </c>
      <c r="E31">
        <v>1</v>
      </c>
      <c r="F31">
        <v>1</v>
      </c>
      <c r="G31">
        <v>1</v>
      </c>
      <c r="H31">
        <v>2</v>
      </c>
      <c r="I31" t="s">
        <v>299</v>
      </c>
      <c r="J31" t="s">
        <v>300</v>
      </c>
      <c r="K31" t="s">
        <v>301</v>
      </c>
      <c r="L31">
        <v>1368</v>
      </c>
      <c r="N31">
        <v>1011</v>
      </c>
      <c r="O31" t="s">
        <v>298</v>
      </c>
      <c r="P31" t="s">
        <v>298</v>
      </c>
      <c r="Q31">
        <v>1</v>
      </c>
      <c r="W31">
        <v>0</v>
      </c>
      <c r="X31">
        <v>1372534845</v>
      </c>
      <c r="Y31">
        <v>0.2</v>
      </c>
      <c r="AA31">
        <v>0</v>
      </c>
      <c r="AB31">
        <v>65.709999999999994</v>
      </c>
      <c r="AC31">
        <v>11.6</v>
      </c>
      <c r="AD31">
        <v>0</v>
      </c>
      <c r="AE31">
        <v>0</v>
      </c>
      <c r="AF31">
        <v>65.709999999999994</v>
      </c>
      <c r="AG31">
        <v>11.6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0.2</v>
      </c>
      <c r="AU31" t="s">
        <v>3</v>
      </c>
      <c r="AV31">
        <v>0</v>
      </c>
      <c r="AW31">
        <v>2</v>
      </c>
      <c r="AX31">
        <v>35007951</v>
      </c>
      <c r="AY31">
        <v>1</v>
      </c>
      <c r="AZ31">
        <v>0</v>
      </c>
      <c r="BA31">
        <v>27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Y31*Source!I36</f>
        <v>0.1</v>
      </c>
      <c r="CY31">
        <f>AB31</f>
        <v>65.709999999999994</v>
      </c>
      <c r="CZ31">
        <f>AF31</f>
        <v>65.709999999999994</v>
      </c>
      <c r="DA31">
        <f>AJ31</f>
        <v>1</v>
      </c>
      <c r="DB31">
        <v>0</v>
      </c>
    </row>
    <row r="32" spans="1:106" x14ac:dyDescent="0.2">
      <c r="A32">
        <f>ROW(Source!A36)</f>
        <v>36</v>
      </c>
      <c r="B32">
        <v>35007309</v>
      </c>
      <c r="C32">
        <v>35007497</v>
      </c>
      <c r="D32">
        <v>31438964</v>
      </c>
      <c r="E32">
        <v>1</v>
      </c>
      <c r="F32">
        <v>1</v>
      </c>
      <c r="G32">
        <v>1</v>
      </c>
      <c r="H32">
        <v>3</v>
      </c>
      <c r="I32" t="s">
        <v>322</v>
      </c>
      <c r="J32" t="s">
        <v>323</v>
      </c>
      <c r="K32" t="s">
        <v>324</v>
      </c>
      <c r="L32">
        <v>1308</v>
      </c>
      <c r="N32">
        <v>1003</v>
      </c>
      <c r="O32" t="s">
        <v>57</v>
      </c>
      <c r="P32" t="s">
        <v>57</v>
      </c>
      <c r="Q32">
        <v>100</v>
      </c>
      <c r="W32">
        <v>0</v>
      </c>
      <c r="X32">
        <v>568244124</v>
      </c>
      <c r="Y32">
        <v>2.4500000000000001E-2</v>
      </c>
      <c r="AA32">
        <v>538.79999999999995</v>
      </c>
      <c r="AB32">
        <v>0</v>
      </c>
      <c r="AC32">
        <v>0</v>
      </c>
      <c r="AD32">
        <v>0</v>
      </c>
      <c r="AE32">
        <v>120</v>
      </c>
      <c r="AF32">
        <v>0</v>
      </c>
      <c r="AG32">
        <v>0</v>
      </c>
      <c r="AH32">
        <v>0</v>
      </c>
      <c r="AI32">
        <v>4.49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2.4500000000000001E-2</v>
      </c>
      <c r="AU32" t="s">
        <v>3</v>
      </c>
      <c r="AV32">
        <v>0</v>
      </c>
      <c r="AW32">
        <v>2</v>
      </c>
      <c r="AX32">
        <v>35007952</v>
      </c>
      <c r="AY32">
        <v>1</v>
      </c>
      <c r="AZ32">
        <v>0</v>
      </c>
      <c r="BA32">
        <v>28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Y32*Source!I36</f>
        <v>1.225E-2</v>
      </c>
      <c r="CY32">
        <f t="shared" ref="CY32:CY37" si="3">AA32</f>
        <v>538.79999999999995</v>
      </c>
      <c r="CZ32">
        <f t="shared" ref="CZ32:CZ37" si="4">AE32</f>
        <v>120</v>
      </c>
      <c r="DA32">
        <f t="shared" ref="DA32:DA37" si="5">AI32</f>
        <v>4.49</v>
      </c>
      <c r="DB32">
        <v>0</v>
      </c>
    </row>
    <row r="33" spans="1:106" x14ac:dyDescent="0.2">
      <c r="A33">
        <f>ROW(Source!A36)</f>
        <v>36</v>
      </c>
      <c r="B33">
        <v>35007309</v>
      </c>
      <c r="C33">
        <v>35007497</v>
      </c>
      <c r="D33">
        <v>31441802</v>
      </c>
      <c r="E33">
        <v>1</v>
      </c>
      <c r="F33">
        <v>1</v>
      </c>
      <c r="G33">
        <v>1</v>
      </c>
      <c r="H33">
        <v>3</v>
      </c>
      <c r="I33" t="s">
        <v>325</v>
      </c>
      <c r="J33" t="s">
        <v>326</v>
      </c>
      <c r="K33" t="s">
        <v>327</v>
      </c>
      <c r="L33">
        <v>1348</v>
      </c>
      <c r="N33">
        <v>1009</v>
      </c>
      <c r="O33" t="s">
        <v>44</v>
      </c>
      <c r="P33" t="s">
        <v>44</v>
      </c>
      <c r="Q33">
        <v>1000</v>
      </c>
      <c r="W33">
        <v>0</v>
      </c>
      <c r="X33">
        <v>-1755229539</v>
      </c>
      <c r="Y33">
        <v>1.1E-4</v>
      </c>
      <c r="AA33">
        <v>89993.2</v>
      </c>
      <c r="AB33">
        <v>0</v>
      </c>
      <c r="AC33">
        <v>0</v>
      </c>
      <c r="AD33">
        <v>0</v>
      </c>
      <c r="AE33">
        <v>12430</v>
      </c>
      <c r="AF33">
        <v>0</v>
      </c>
      <c r="AG33">
        <v>0</v>
      </c>
      <c r="AH33">
        <v>0</v>
      </c>
      <c r="AI33">
        <v>7.24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1.1E-4</v>
      </c>
      <c r="AU33" t="s">
        <v>3</v>
      </c>
      <c r="AV33">
        <v>0</v>
      </c>
      <c r="AW33">
        <v>2</v>
      </c>
      <c r="AX33">
        <v>35007953</v>
      </c>
      <c r="AY33">
        <v>1</v>
      </c>
      <c r="AZ33">
        <v>0</v>
      </c>
      <c r="BA33">
        <v>29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Y33*Source!I36</f>
        <v>5.5000000000000002E-5</v>
      </c>
      <c r="CY33">
        <f t="shared" si="3"/>
        <v>89993.2</v>
      </c>
      <c r="CZ33">
        <f t="shared" si="4"/>
        <v>12430</v>
      </c>
      <c r="DA33">
        <f t="shared" si="5"/>
        <v>7.24</v>
      </c>
      <c r="DB33">
        <v>0</v>
      </c>
    </row>
    <row r="34" spans="1:106" x14ac:dyDescent="0.2">
      <c r="A34">
        <f>ROW(Source!A36)</f>
        <v>36</v>
      </c>
      <c r="B34">
        <v>35007309</v>
      </c>
      <c r="C34">
        <v>35007497</v>
      </c>
      <c r="D34">
        <v>31466422</v>
      </c>
      <c r="E34">
        <v>1</v>
      </c>
      <c r="F34">
        <v>1</v>
      </c>
      <c r="G34">
        <v>1</v>
      </c>
      <c r="H34">
        <v>3</v>
      </c>
      <c r="I34" t="s">
        <v>328</v>
      </c>
      <c r="J34" t="s">
        <v>329</v>
      </c>
      <c r="K34" t="s">
        <v>330</v>
      </c>
      <c r="L34">
        <v>1346</v>
      </c>
      <c r="N34">
        <v>1009</v>
      </c>
      <c r="O34" t="s">
        <v>121</v>
      </c>
      <c r="P34" t="s">
        <v>121</v>
      </c>
      <c r="Q34">
        <v>1</v>
      </c>
      <c r="W34">
        <v>0</v>
      </c>
      <c r="X34">
        <v>1391681712</v>
      </c>
      <c r="Y34">
        <v>0.26</v>
      </c>
      <c r="AA34">
        <v>600.88</v>
      </c>
      <c r="AB34">
        <v>0</v>
      </c>
      <c r="AC34">
        <v>0</v>
      </c>
      <c r="AD34">
        <v>0</v>
      </c>
      <c r="AE34">
        <v>68.05</v>
      </c>
      <c r="AF34">
        <v>0</v>
      </c>
      <c r="AG34">
        <v>0</v>
      </c>
      <c r="AH34">
        <v>0</v>
      </c>
      <c r="AI34">
        <v>8.83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0.26</v>
      </c>
      <c r="AU34" t="s">
        <v>3</v>
      </c>
      <c r="AV34">
        <v>0</v>
      </c>
      <c r="AW34">
        <v>2</v>
      </c>
      <c r="AX34">
        <v>35007954</v>
      </c>
      <c r="AY34">
        <v>1</v>
      </c>
      <c r="AZ34">
        <v>0</v>
      </c>
      <c r="BA34">
        <v>30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Y34*Source!I36</f>
        <v>0.13</v>
      </c>
      <c r="CY34">
        <f t="shared" si="3"/>
        <v>600.88</v>
      </c>
      <c r="CZ34">
        <f t="shared" si="4"/>
        <v>68.05</v>
      </c>
      <c r="DA34">
        <f t="shared" si="5"/>
        <v>8.83</v>
      </c>
      <c r="DB34">
        <v>0</v>
      </c>
    </row>
    <row r="35" spans="1:106" x14ac:dyDescent="0.2">
      <c r="A35">
        <f>ROW(Source!A36)</f>
        <v>36</v>
      </c>
      <c r="B35">
        <v>35007309</v>
      </c>
      <c r="C35">
        <v>35007497</v>
      </c>
      <c r="D35">
        <v>31475248</v>
      </c>
      <c r="E35">
        <v>1</v>
      </c>
      <c r="F35">
        <v>1</v>
      </c>
      <c r="G35">
        <v>1</v>
      </c>
      <c r="H35">
        <v>3</v>
      </c>
      <c r="I35" t="s">
        <v>331</v>
      </c>
      <c r="J35" t="s">
        <v>332</v>
      </c>
      <c r="K35" t="s">
        <v>333</v>
      </c>
      <c r="L35">
        <v>1348</v>
      </c>
      <c r="N35">
        <v>1009</v>
      </c>
      <c r="O35" t="s">
        <v>44</v>
      </c>
      <c r="P35" t="s">
        <v>44</v>
      </c>
      <c r="Q35">
        <v>1000</v>
      </c>
      <c r="W35">
        <v>0</v>
      </c>
      <c r="X35">
        <v>-108263514</v>
      </c>
      <c r="Y35">
        <v>7.2000000000000005E-4</v>
      </c>
      <c r="AA35">
        <v>74903.429999999993</v>
      </c>
      <c r="AB35">
        <v>0</v>
      </c>
      <c r="AC35">
        <v>0</v>
      </c>
      <c r="AD35">
        <v>0</v>
      </c>
      <c r="AE35">
        <v>7826.9</v>
      </c>
      <c r="AF35">
        <v>0</v>
      </c>
      <c r="AG35">
        <v>0</v>
      </c>
      <c r="AH35">
        <v>0</v>
      </c>
      <c r="AI35">
        <v>9.57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7.2000000000000005E-4</v>
      </c>
      <c r="AU35" t="s">
        <v>3</v>
      </c>
      <c r="AV35">
        <v>0</v>
      </c>
      <c r="AW35">
        <v>2</v>
      </c>
      <c r="AX35">
        <v>35007955</v>
      </c>
      <c r="AY35">
        <v>1</v>
      </c>
      <c r="AZ35">
        <v>0</v>
      </c>
      <c r="BA35">
        <v>31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Y35*Source!I36</f>
        <v>3.6000000000000002E-4</v>
      </c>
      <c r="CY35">
        <f t="shared" si="3"/>
        <v>74903.429999999993</v>
      </c>
      <c r="CZ35">
        <f t="shared" si="4"/>
        <v>7826.9</v>
      </c>
      <c r="DA35">
        <f t="shared" si="5"/>
        <v>9.57</v>
      </c>
      <c r="DB35">
        <v>0</v>
      </c>
    </row>
    <row r="36" spans="1:106" x14ac:dyDescent="0.2">
      <c r="A36">
        <f>ROW(Source!A36)</f>
        <v>36</v>
      </c>
      <c r="B36">
        <v>35007309</v>
      </c>
      <c r="C36">
        <v>35007497</v>
      </c>
      <c r="D36">
        <v>31495035</v>
      </c>
      <c r="E36">
        <v>1</v>
      </c>
      <c r="F36">
        <v>1</v>
      </c>
      <c r="G36">
        <v>1</v>
      </c>
      <c r="H36">
        <v>3</v>
      </c>
      <c r="I36" t="s">
        <v>67</v>
      </c>
      <c r="J36" t="s">
        <v>69</v>
      </c>
      <c r="K36" t="s">
        <v>68</v>
      </c>
      <c r="L36">
        <v>1477</v>
      </c>
      <c r="N36">
        <v>1013</v>
      </c>
      <c r="O36" t="s">
        <v>62</v>
      </c>
      <c r="P36" t="s">
        <v>64</v>
      </c>
      <c r="Q36">
        <v>1</v>
      </c>
      <c r="W36">
        <v>0</v>
      </c>
      <c r="X36">
        <v>1416062269</v>
      </c>
      <c r="Y36">
        <v>0.10199999999999999</v>
      </c>
      <c r="AA36">
        <v>358465.36</v>
      </c>
      <c r="AB36">
        <v>0</v>
      </c>
      <c r="AC36">
        <v>0</v>
      </c>
      <c r="AD36">
        <v>0</v>
      </c>
      <c r="AE36">
        <v>59944.04</v>
      </c>
      <c r="AF36">
        <v>0</v>
      </c>
      <c r="AG36">
        <v>0</v>
      </c>
      <c r="AH36">
        <v>0</v>
      </c>
      <c r="AI36">
        <v>5.98</v>
      </c>
      <c r="AJ36">
        <v>1</v>
      </c>
      <c r="AK36">
        <v>1</v>
      </c>
      <c r="AL36">
        <v>1</v>
      </c>
      <c r="AN36">
        <v>0</v>
      </c>
      <c r="AO36">
        <v>0</v>
      </c>
      <c r="AP36">
        <v>0</v>
      </c>
      <c r="AQ36">
        <v>0</v>
      </c>
      <c r="AR36">
        <v>0</v>
      </c>
      <c r="AS36" t="s">
        <v>3</v>
      </c>
      <c r="AT36">
        <v>0.10199999999999999</v>
      </c>
      <c r="AU36" t="s">
        <v>3</v>
      </c>
      <c r="AV36">
        <v>0</v>
      </c>
      <c r="AW36">
        <v>1</v>
      </c>
      <c r="AX36">
        <v>-1</v>
      </c>
      <c r="AY36">
        <v>0</v>
      </c>
      <c r="AZ36">
        <v>0</v>
      </c>
      <c r="BA36" t="s">
        <v>3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Y36*Source!I36</f>
        <v>5.0999999999999997E-2</v>
      </c>
      <c r="CY36">
        <f t="shared" si="3"/>
        <v>358465.36</v>
      </c>
      <c r="CZ36">
        <f t="shared" si="4"/>
        <v>59944.04</v>
      </c>
      <c r="DA36">
        <f t="shared" si="5"/>
        <v>5.98</v>
      </c>
      <c r="DB36">
        <v>0</v>
      </c>
    </row>
    <row r="37" spans="1:106" x14ac:dyDescent="0.2">
      <c r="A37">
        <f>ROW(Source!A36)</f>
        <v>36</v>
      </c>
      <c r="B37">
        <v>35007309</v>
      </c>
      <c r="C37">
        <v>35007497</v>
      </c>
      <c r="D37">
        <v>31435925</v>
      </c>
      <c r="E37">
        <v>17</v>
      </c>
      <c r="F37">
        <v>1</v>
      </c>
      <c r="G37">
        <v>1</v>
      </c>
      <c r="H37">
        <v>3</v>
      </c>
      <c r="I37" t="s">
        <v>311</v>
      </c>
      <c r="J37" t="s">
        <v>3</v>
      </c>
      <c r="K37" t="s">
        <v>312</v>
      </c>
      <c r="L37">
        <v>1374</v>
      </c>
      <c r="N37">
        <v>1013</v>
      </c>
      <c r="O37" t="s">
        <v>313</v>
      </c>
      <c r="P37" t="s">
        <v>313</v>
      </c>
      <c r="Q37">
        <v>1</v>
      </c>
      <c r="W37">
        <v>0</v>
      </c>
      <c r="X37">
        <v>-1731369543</v>
      </c>
      <c r="Y37">
        <v>1.8</v>
      </c>
      <c r="AA37">
        <v>1</v>
      </c>
      <c r="AB37">
        <v>0</v>
      </c>
      <c r="AC37">
        <v>0</v>
      </c>
      <c r="AD37">
        <v>0</v>
      </c>
      <c r="AE37">
        <v>1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1.8</v>
      </c>
      <c r="AU37" t="s">
        <v>3</v>
      </c>
      <c r="AV37">
        <v>0</v>
      </c>
      <c r="AW37">
        <v>2</v>
      </c>
      <c r="AX37">
        <v>35007956</v>
      </c>
      <c r="AY37">
        <v>1</v>
      </c>
      <c r="AZ37">
        <v>0</v>
      </c>
      <c r="BA37">
        <v>32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Y37*Source!I36</f>
        <v>0.9</v>
      </c>
      <c r="CY37">
        <f t="shared" si="3"/>
        <v>1</v>
      </c>
      <c r="CZ37">
        <f t="shared" si="4"/>
        <v>1</v>
      </c>
      <c r="DA37">
        <f t="shared" si="5"/>
        <v>1</v>
      </c>
      <c r="DB37">
        <v>0</v>
      </c>
    </row>
    <row r="38" spans="1:106" x14ac:dyDescent="0.2">
      <c r="A38">
        <f>ROW(Source!A38)</f>
        <v>38</v>
      </c>
      <c r="B38">
        <v>35007309</v>
      </c>
      <c r="C38">
        <v>35007522</v>
      </c>
      <c r="D38">
        <v>31709886</v>
      </c>
      <c r="E38">
        <v>1</v>
      </c>
      <c r="F38">
        <v>1</v>
      </c>
      <c r="G38">
        <v>1</v>
      </c>
      <c r="H38">
        <v>1</v>
      </c>
      <c r="I38" t="s">
        <v>314</v>
      </c>
      <c r="J38" t="s">
        <v>3</v>
      </c>
      <c r="K38" t="s">
        <v>315</v>
      </c>
      <c r="L38">
        <v>1191</v>
      </c>
      <c r="N38">
        <v>1013</v>
      </c>
      <c r="O38" t="s">
        <v>290</v>
      </c>
      <c r="P38" t="s">
        <v>290</v>
      </c>
      <c r="Q38">
        <v>1</v>
      </c>
      <c r="W38">
        <v>0</v>
      </c>
      <c r="X38">
        <v>1069510174</v>
      </c>
      <c r="Y38">
        <v>15.12</v>
      </c>
      <c r="AA38">
        <v>0</v>
      </c>
      <c r="AB38">
        <v>0</v>
      </c>
      <c r="AC38">
        <v>0</v>
      </c>
      <c r="AD38">
        <v>9.6199999999999992</v>
      </c>
      <c r="AE38">
        <v>0</v>
      </c>
      <c r="AF38">
        <v>0</v>
      </c>
      <c r="AG38">
        <v>0</v>
      </c>
      <c r="AH38">
        <v>9.6199999999999992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15.12</v>
      </c>
      <c r="AU38" t="s">
        <v>3</v>
      </c>
      <c r="AV38">
        <v>1</v>
      </c>
      <c r="AW38">
        <v>2</v>
      </c>
      <c r="AX38">
        <v>35007957</v>
      </c>
      <c r="AY38">
        <v>1</v>
      </c>
      <c r="AZ38">
        <v>0</v>
      </c>
      <c r="BA38">
        <v>33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Y38*Source!I38</f>
        <v>1.8143999999999998</v>
      </c>
      <c r="CY38">
        <f>AD38</f>
        <v>9.6199999999999992</v>
      </c>
      <c r="CZ38">
        <f>AH38</f>
        <v>9.6199999999999992</v>
      </c>
      <c r="DA38">
        <f>AL38</f>
        <v>1</v>
      </c>
      <c r="DB38">
        <v>0</v>
      </c>
    </row>
    <row r="39" spans="1:106" x14ac:dyDescent="0.2">
      <c r="A39">
        <f>ROW(Source!A38)</f>
        <v>38</v>
      </c>
      <c r="B39">
        <v>35007309</v>
      </c>
      <c r="C39">
        <v>35007522</v>
      </c>
      <c r="D39">
        <v>31490812</v>
      </c>
      <c r="E39">
        <v>1</v>
      </c>
      <c r="F39">
        <v>1</v>
      </c>
      <c r="G39">
        <v>1</v>
      </c>
      <c r="H39">
        <v>3</v>
      </c>
      <c r="I39" t="s">
        <v>76</v>
      </c>
      <c r="J39" t="s">
        <v>79</v>
      </c>
      <c r="K39" t="s">
        <v>77</v>
      </c>
      <c r="L39">
        <v>1355</v>
      </c>
      <c r="N39">
        <v>1010</v>
      </c>
      <c r="O39" t="s">
        <v>78</v>
      </c>
      <c r="P39" t="s">
        <v>78</v>
      </c>
      <c r="Q39">
        <v>100</v>
      </c>
      <c r="W39">
        <v>0</v>
      </c>
      <c r="X39">
        <v>-156280516</v>
      </c>
      <c r="Y39">
        <v>1</v>
      </c>
      <c r="AA39">
        <v>9055.2999999999993</v>
      </c>
      <c r="AB39">
        <v>0</v>
      </c>
      <c r="AC39">
        <v>0</v>
      </c>
      <c r="AD39">
        <v>0</v>
      </c>
      <c r="AE39">
        <v>2182</v>
      </c>
      <c r="AF39">
        <v>0</v>
      </c>
      <c r="AG39">
        <v>0</v>
      </c>
      <c r="AH39">
        <v>0</v>
      </c>
      <c r="AI39">
        <v>4.1500000000000004</v>
      </c>
      <c r="AJ39">
        <v>1</v>
      </c>
      <c r="AK39">
        <v>1</v>
      </c>
      <c r="AL39">
        <v>1</v>
      </c>
      <c r="AN39">
        <v>0</v>
      </c>
      <c r="AO39">
        <v>0</v>
      </c>
      <c r="AP39">
        <v>0</v>
      </c>
      <c r="AQ39">
        <v>0</v>
      </c>
      <c r="AR39">
        <v>0</v>
      </c>
      <c r="AS39" t="s">
        <v>3</v>
      </c>
      <c r="AT39">
        <v>1</v>
      </c>
      <c r="AU39" t="s">
        <v>3</v>
      </c>
      <c r="AV39">
        <v>0</v>
      </c>
      <c r="AW39">
        <v>1</v>
      </c>
      <c r="AX39">
        <v>-1</v>
      </c>
      <c r="AY39">
        <v>0</v>
      </c>
      <c r="AZ39">
        <v>0</v>
      </c>
      <c r="BA39" t="s">
        <v>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Y39*Source!I38</f>
        <v>0.12</v>
      </c>
      <c r="CY39">
        <f>AA39</f>
        <v>9055.2999999999993</v>
      </c>
      <c r="CZ39">
        <f>AE39</f>
        <v>2182</v>
      </c>
      <c r="DA39">
        <f>AI39</f>
        <v>4.1500000000000004</v>
      </c>
      <c r="DB39">
        <v>0</v>
      </c>
    </row>
    <row r="40" spans="1:106" x14ac:dyDescent="0.2">
      <c r="A40">
        <f>ROW(Source!A38)</f>
        <v>38</v>
      </c>
      <c r="B40">
        <v>35007309</v>
      </c>
      <c r="C40">
        <v>35007522</v>
      </c>
      <c r="D40">
        <v>31435925</v>
      </c>
      <c r="E40">
        <v>17</v>
      </c>
      <c r="F40">
        <v>1</v>
      </c>
      <c r="G40">
        <v>1</v>
      </c>
      <c r="H40">
        <v>3</v>
      </c>
      <c r="I40" t="s">
        <v>311</v>
      </c>
      <c r="J40" t="s">
        <v>3</v>
      </c>
      <c r="K40" t="s">
        <v>312</v>
      </c>
      <c r="L40">
        <v>1374</v>
      </c>
      <c r="N40">
        <v>1013</v>
      </c>
      <c r="O40" t="s">
        <v>313</v>
      </c>
      <c r="P40" t="s">
        <v>313</v>
      </c>
      <c r="Q40">
        <v>1</v>
      </c>
      <c r="W40">
        <v>0</v>
      </c>
      <c r="X40">
        <v>-1731369543</v>
      </c>
      <c r="Y40">
        <v>2.91</v>
      </c>
      <c r="AA40">
        <v>1</v>
      </c>
      <c r="AB40">
        <v>0</v>
      </c>
      <c r="AC40">
        <v>0</v>
      </c>
      <c r="AD40">
        <v>0</v>
      </c>
      <c r="AE40">
        <v>1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2.91</v>
      </c>
      <c r="AU40" t="s">
        <v>3</v>
      </c>
      <c r="AV40">
        <v>0</v>
      </c>
      <c r="AW40">
        <v>2</v>
      </c>
      <c r="AX40">
        <v>35007958</v>
      </c>
      <c r="AY40">
        <v>1</v>
      </c>
      <c r="AZ40">
        <v>0</v>
      </c>
      <c r="BA40">
        <v>34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Y40*Source!I38</f>
        <v>0.34920000000000001</v>
      </c>
      <c r="CY40">
        <f>AA40</f>
        <v>1</v>
      </c>
      <c r="CZ40">
        <f>AE40</f>
        <v>1</v>
      </c>
      <c r="DA40">
        <f>AI40</f>
        <v>1</v>
      </c>
      <c r="DB40">
        <v>0</v>
      </c>
    </row>
    <row r="41" spans="1:106" x14ac:dyDescent="0.2">
      <c r="A41">
        <f>ROW(Source!A40)</f>
        <v>40</v>
      </c>
      <c r="B41">
        <v>35007309</v>
      </c>
      <c r="C41">
        <v>35007529</v>
      </c>
      <c r="D41">
        <v>31703778</v>
      </c>
      <c r="E41">
        <v>1</v>
      </c>
      <c r="F41">
        <v>1</v>
      </c>
      <c r="G41">
        <v>1</v>
      </c>
      <c r="H41">
        <v>1</v>
      </c>
      <c r="I41" t="s">
        <v>334</v>
      </c>
      <c r="J41" t="s">
        <v>3</v>
      </c>
      <c r="K41" t="s">
        <v>335</v>
      </c>
      <c r="L41">
        <v>1191</v>
      </c>
      <c r="N41">
        <v>1013</v>
      </c>
      <c r="O41" t="s">
        <v>290</v>
      </c>
      <c r="P41" t="s">
        <v>290</v>
      </c>
      <c r="Q41">
        <v>1</v>
      </c>
      <c r="W41">
        <v>0</v>
      </c>
      <c r="X41">
        <v>145020957</v>
      </c>
      <c r="Y41">
        <v>0.59</v>
      </c>
      <c r="AA41">
        <v>0</v>
      </c>
      <c r="AB41">
        <v>0</v>
      </c>
      <c r="AC41">
        <v>0</v>
      </c>
      <c r="AD41">
        <v>9.07</v>
      </c>
      <c r="AE41">
        <v>0</v>
      </c>
      <c r="AF41">
        <v>0</v>
      </c>
      <c r="AG41">
        <v>0</v>
      </c>
      <c r="AH41">
        <v>9.07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0.59</v>
      </c>
      <c r="AU41" t="s">
        <v>3</v>
      </c>
      <c r="AV41">
        <v>1</v>
      </c>
      <c r="AW41">
        <v>2</v>
      </c>
      <c r="AX41">
        <v>35007959</v>
      </c>
      <c r="AY41">
        <v>1</v>
      </c>
      <c r="AZ41">
        <v>0</v>
      </c>
      <c r="BA41">
        <v>35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Y41*Source!I40</f>
        <v>20.65</v>
      </c>
      <c r="CY41">
        <f>AD41</f>
        <v>9.07</v>
      </c>
      <c r="CZ41">
        <f>AH41</f>
        <v>9.07</v>
      </c>
      <c r="DA41">
        <f>AL41</f>
        <v>1</v>
      </c>
      <c r="DB41">
        <v>0</v>
      </c>
    </row>
    <row r="42" spans="1:106" x14ac:dyDescent="0.2">
      <c r="A42">
        <f>ROW(Source!A40)</f>
        <v>40</v>
      </c>
      <c r="B42">
        <v>35007309</v>
      </c>
      <c r="C42">
        <v>35007529</v>
      </c>
      <c r="D42">
        <v>31436897</v>
      </c>
      <c r="E42">
        <v>1</v>
      </c>
      <c r="F42">
        <v>1</v>
      </c>
      <c r="G42">
        <v>1</v>
      </c>
      <c r="H42">
        <v>3</v>
      </c>
      <c r="I42" t="s">
        <v>336</v>
      </c>
      <c r="J42" t="s">
        <v>337</v>
      </c>
      <c r="K42" t="s">
        <v>338</v>
      </c>
      <c r="L42">
        <v>1346</v>
      </c>
      <c r="N42">
        <v>1009</v>
      </c>
      <c r="O42" t="s">
        <v>121</v>
      </c>
      <c r="P42" t="s">
        <v>121</v>
      </c>
      <c r="Q42">
        <v>1</v>
      </c>
      <c r="W42">
        <v>0</v>
      </c>
      <c r="X42">
        <v>-1003059649</v>
      </c>
      <c r="Y42">
        <v>0.04</v>
      </c>
      <c r="AA42">
        <v>59.04</v>
      </c>
      <c r="AB42">
        <v>0</v>
      </c>
      <c r="AC42">
        <v>0</v>
      </c>
      <c r="AD42">
        <v>0</v>
      </c>
      <c r="AE42">
        <v>6.15</v>
      </c>
      <c r="AF42">
        <v>0</v>
      </c>
      <c r="AG42">
        <v>0</v>
      </c>
      <c r="AH42">
        <v>0</v>
      </c>
      <c r="AI42">
        <v>9.6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0.04</v>
      </c>
      <c r="AU42" t="s">
        <v>3</v>
      </c>
      <c r="AV42">
        <v>0</v>
      </c>
      <c r="AW42">
        <v>2</v>
      </c>
      <c r="AX42">
        <v>35007960</v>
      </c>
      <c r="AY42">
        <v>1</v>
      </c>
      <c r="AZ42">
        <v>0</v>
      </c>
      <c r="BA42">
        <v>36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Y42*Source!I40</f>
        <v>1.4000000000000001</v>
      </c>
      <c r="CY42">
        <f>AA42</f>
        <v>59.04</v>
      </c>
      <c r="CZ42">
        <f>AE42</f>
        <v>6.15</v>
      </c>
      <c r="DA42">
        <f>AI42</f>
        <v>9.6</v>
      </c>
      <c r="DB42">
        <v>0</v>
      </c>
    </row>
    <row r="43" spans="1:106" x14ac:dyDescent="0.2">
      <c r="A43">
        <f>ROW(Source!A40)</f>
        <v>40</v>
      </c>
      <c r="B43">
        <v>35007309</v>
      </c>
      <c r="C43">
        <v>35007529</v>
      </c>
      <c r="D43">
        <v>31439017</v>
      </c>
      <c r="E43">
        <v>1</v>
      </c>
      <c r="F43">
        <v>1</v>
      </c>
      <c r="G43">
        <v>1</v>
      </c>
      <c r="H43">
        <v>3</v>
      </c>
      <c r="I43" t="s">
        <v>339</v>
      </c>
      <c r="J43" t="s">
        <v>340</v>
      </c>
      <c r="K43" t="s">
        <v>341</v>
      </c>
      <c r="L43">
        <v>1308</v>
      </c>
      <c r="N43">
        <v>1003</v>
      </c>
      <c r="O43" t="s">
        <v>57</v>
      </c>
      <c r="P43" t="s">
        <v>57</v>
      </c>
      <c r="Q43">
        <v>100</v>
      </c>
      <c r="W43">
        <v>0</v>
      </c>
      <c r="X43">
        <v>1287168028</v>
      </c>
      <c r="Y43">
        <v>3.0000000000000001E-3</v>
      </c>
      <c r="AA43">
        <v>871.08</v>
      </c>
      <c r="AB43">
        <v>0</v>
      </c>
      <c r="AC43">
        <v>0</v>
      </c>
      <c r="AD43">
        <v>0</v>
      </c>
      <c r="AE43">
        <v>143.97999999999999</v>
      </c>
      <c r="AF43">
        <v>0</v>
      </c>
      <c r="AG43">
        <v>0</v>
      </c>
      <c r="AH43">
        <v>0</v>
      </c>
      <c r="AI43">
        <v>6.05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3.0000000000000001E-3</v>
      </c>
      <c r="AU43" t="s">
        <v>3</v>
      </c>
      <c r="AV43">
        <v>0</v>
      </c>
      <c r="AW43">
        <v>2</v>
      </c>
      <c r="AX43">
        <v>35007961</v>
      </c>
      <c r="AY43">
        <v>1</v>
      </c>
      <c r="AZ43">
        <v>0</v>
      </c>
      <c r="BA43">
        <v>37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Y43*Source!I40</f>
        <v>0.105</v>
      </c>
      <c r="CY43">
        <f>AA43</f>
        <v>871.08</v>
      </c>
      <c r="CZ43">
        <f>AE43</f>
        <v>143.97999999999999</v>
      </c>
      <c r="DA43">
        <f>AI43</f>
        <v>6.05</v>
      </c>
      <c r="DB43">
        <v>0</v>
      </c>
    </row>
    <row r="44" spans="1:106" x14ac:dyDescent="0.2">
      <c r="A44">
        <f>ROW(Source!A40)</f>
        <v>40</v>
      </c>
      <c r="B44">
        <v>35007309</v>
      </c>
      <c r="C44">
        <v>35007529</v>
      </c>
      <c r="D44">
        <v>31439019</v>
      </c>
      <c r="E44">
        <v>1</v>
      </c>
      <c r="F44">
        <v>1</v>
      </c>
      <c r="G44">
        <v>1</v>
      </c>
      <c r="H44">
        <v>3</v>
      </c>
      <c r="I44" t="s">
        <v>342</v>
      </c>
      <c r="J44" t="s">
        <v>343</v>
      </c>
      <c r="K44" t="s">
        <v>344</v>
      </c>
      <c r="L44">
        <v>1308</v>
      </c>
      <c r="N44">
        <v>1003</v>
      </c>
      <c r="O44" t="s">
        <v>57</v>
      </c>
      <c r="P44" t="s">
        <v>57</v>
      </c>
      <c r="Q44">
        <v>100</v>
      </c>
      <c r="W44">
        <v>0</v>
      </c>
      <c r="X44">
        <v>-634543811</v>
      </c>
      <c r="Y44">
        <v>4.0000000000000001E-3</v>
      </c>
      <c r="AA44">
        <v>226.91</v>
      </c>
      <c r="AB44">
        <v>0</v>
      </c>
      <c r="AC44">
        <v>0</v>
      </c>
      <c r="AD44">
        <v>0</v>
      </c>
      <c r="AE44">
        <v>38.590000000000003</v>
      </c>
      <c r="AF44">
        <v>0</v>
      </c>
      <c r="AG44">
        <v>0</v>
      </c>
      <c r="AH44">
        <v>0</v>
      </c>
      <c r="AI44">
        <v>5.88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4.0000000000000001E-3</v>
      </c>
      <c r="AU44" t="s">
        <v>3</v>
      </c>
      <c r="AV44">
        <v>0</v>
      </c>
      <c r="AW44">
        <v>2</v>
      </c>
      <c r="AX44">
        <v>35007962</v>
      </c>
      <c r="AY44">
        <v>1</v>
      </c>
      <c r="AZ44">
        <v>0</v>
      </c>
      <c r="BA44">
        <v>38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Y44*Source!I40</f>
        <v>0.14000000000000001</v>
      </c>
      <c r="CY44">
        <f>AA44</f>
        <v>226.91</v>
      </c>
      <c r="CZ44">
        <f>AE44</f>
        <v>38.590000000000003</v>
      </c>
      <c r="DA44">
        <f>AI44</f>
        <v>5.88</v>
      </c>
      <c r="DB44">
        <v>0</v>
      </c>
    </row>
    <row r="45" spans="1:106" x14ac:dyDescent="0.2">
      <c r="A45">
        <f>ROW(Source!A40)</f>
        <v>40</v>
      </c>
      <c r="B45">
        <v>35007309</v>
      </c>
      <c r="C45">
        <v>35007529</v>
      </c>
      <c r="D45">
        <v>31506103</v>
      </c>
      <c r="E45">
        <v>1</v>
      </c>
      <c r="F45">
        <v>1</v>
      </c>
      <c r="G45">
        <v>1</v>
      </c>
      <c r="H45">
        <v>3</v>
      </c>
      <c r="I45" t="s">
        <v>86</v>
      </c>
      <c r="J45" t="s">
        <v>88</v>
      </c>
      <c r="K45" t="s">
        <v>87</v>
      </c>
      <c r="L45">
        <v>1354</v>
      </c>
      <c r="N45">
        <v>1010</v>
      </c>
      <c r="O45" t="s">
        <v>52</v>
      </c>
      <c r="P45" t="s">
        <v>52</v>
      </c>
      <c r="Q45">
        <v>1</v>
      </c>
      <c r="W45">
        <v>0</v>
      </c>
      <c r="X45">
        <v>780116230</v>
      </c>
      <c r="Y45">
        <v>1</v>
      </c>
      <c r="AA45">
        <v>103.74</v>
      </c>
      <c r="AB45">
        <v>0</v>
      </c>
      <c r="AC45">
        <v>0</v>
      </c>
      <c r="AD45">
        <v>0</v>
      </c>
      <c r="AE45">
        <v>38</v>
      </c>
      <c r="AF45">
        <v>0</v>
      </c>
      <c r="AG45">
        <v>0</v>
      </c>
      <c r="AH45">
        <v>0</v>
      </c>
      <c r="AI45">
        <v>2.73</v>
      </c>
      <c r="AJ45">
        <v>1</v>
      </c>
      <c r="AK45">
        <v>1</v>
      </c>
      <c r="AL45">
        <v>1</v>
      </c>
      <c r="AN45">
        <v>0</v>
      </c>
      <c r="AO45">
        <v>0</v>
      </c>
      <c r="AP45">
        <v>0</v>
      </c>
      <c r="AQ45">
        <v>0</v>
      </c>
      <c r="AR45">
        <v>0</v>
      </c>
      <c r="AS45" t="s">
        <v>3</v>
      </c>
      <c r="AT45">
        <v>1</v>
      </c>
      <c r="AU45" t="s">
        <v>3</v>
      </c>
      <c r="AV45">
        <v>0</v>
      </c>
      <c r="AW45">
        <v>1</v>
      </c>
      <c r="AX45">
        <v>-1</v>
      </c>
      <c r="AY45">
        <v>0</v>
      </c>
      <c r="AZ45">
        <v>0</v>
      </c>
      <c r="BA45" t="s">
        <v>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Y45*Source!I40</f>
        <v>35</v>
      </c>
      <c r="CY45">
        <f>AA45</f>
        <v>103.74</v>
      </c>
      <c r="CZ45">
        <f>AE45</f>
        <v>38</v>
      </c>
      <c r="DA45">
        <f>AI45</f>
        <v>2.73</v>
      </c>
      <c r="DB45">
        <v>0</v>
      </c>
    </row>
    <row r="46" spans="1:106" x14ac:dyDescent="0.2">
      <c r="A46">
        <f>ROW(Source!A40)</f>
        <v>40</v>
      </c>
      <c r="B46">
        <v>35007309</v>
      </c>
      <c r="C46">
        <v>35007529</v>
      </c>
      <c r="D46">
        <v>31435925</v>
      </c>
      <c r="E46">
        <v>17</v>
      </c>
      <c r="F46">
        <v>1</v>
      </c>
      <c r="G46">
        <v>1</v>
      </c>
      <c r="H46">
        <v>3</v>
      </c>
      <c r="I46" t="s">
        <v>311</v>
      </c>
      <c r="J46" t="s">
        <v>3</v>
      </c>
      <c r="K46" t="s">
        <v>312</v>
      </c>
      <c r="L46">
        <v>1374</v>
      </c>
      <c r="N46">
        <v>1013</v>
      </c>
      <c r="O46" t="s">
        <v>313</v>
      </c>
      <c r="P46" t="s">
        <v>313</v>
      </c>
      <c r="Q46">
        <v>1</v>
      </c>
      <c r="W46">
        <v>0</v>
      </c>
      <c r="X46">
        <v>-1731369543</v>
      </c>
      <c r="Y46">
        <v>0.11</v>
      </c>
      <c r="AA46">
        <v>1</v>
      </c>
      <c r="AB46">
        <v>0</v>
      </c>
      <c r="AC46">
        <v>0</v>
      </c>
      <c r="AD46">
        <v>0</v>
      </c>
      <c r="AE46">
        <v>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0.11</v>
      </c>
      <c r="AU46" t="s">
        <v>3</v>
      </c>
      <c r="AV46">
        <v>0</v>
      </c>
      <c r="AW46">
        <v>2</v>
      </c>
      <c r="AX46">
        <v>35007963</v>
      </c>
      <c r="AY46">
        <v>1</v>
      </c>
      <c r="AZ46">
        <v>0</v>
      </c>
      <c r="BA46">
        <v>39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Y46*Source!I40</f>
        <v>3.85</v>
      </c>
      <c r="CY46">
        <f>AA46</f>
        <v>1</v>
      </c>
      <c r="CZ46">
        <f>AE46</f>
        <v>1</v>
      </c>
      <c r="DA46">
        <f>AI46</f>
        <v>1</v>
      </c>
      <c r="DB46">
        <v>0</v>
      </c>
    </row>
    <row r="47" spans="1:106" x14ac:dyDescent="0.2">
      <c r="A47">
        <f>ROW(Source!A42)</f>
        <v>42</v>
      </c>
      <c r="B47">
        <v>35007309</v>
      </c>
      <c r="C47">
        <v>35007549</v>
      </c>
      <c r="D47">
        <v>31709886</v>
      </c>
      <c r="E47">
        <v>1</v>
      </c>
      <c r="F47">
        <v>1</v>
      </c>
      <c r="G47">
        <v>1</v>
      </c>
      <c r="H47">
        <v>1</v>
      </c>
      <c r="I47" t="s">
        <v>314</v>
      </c>
      <c r="J47" t="s">
        <v>3</v>
      </c>
      <c r="K47" t="s">
        <v>315</v>
      </c>
      <c r="L47">
        <v>1191</v>
      </c>
      <c r="N47">
        <v>1013</v>
      </c>
      <c r="O47" t="s">
        <v>290</v>
      </c>
      <c r="P47" t="s">
        <v>290</v>
      </c>
      <c r="Q47">
        <v>1</v>
      </c>
      <c r="W47">
        <v>0</v>
      </c>
      <c r="X47">
        <v>1069510174</v>
      </c>
      <c r="Y47">
        <v>30.4</v>
      </c>
      <c r="AA47">
        <v>0</v>
      </c>
      <c r="AB47">
        <v>0</v>
      </c>
      <c r="AC47">
        <v>0</v>
      </c>
      <c r="AD47">
        <v>9.6199999999999992</v>
      </c>
      <c r="AE47">
        <v>0</v>
      </c>
      <c r="AF47">
        <v>0</v>
      </c>
      <c r="AG47">
        <v>0</v>
      </c>
      <c r="AH47">
        <v>9.6199999999999992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30.4</v>
      </c>
      <c r="AU47" t="s">
        <v>3</v>
      </c>
      <c r="AV47">
        <v>1</v>
      </c>
      <c r="AW47">
        <v>2</v>
      </c>
      <c r="AX47">
        <v>35007964</v>
      </c>
      <c r="AY47">
        <v>1</v>
      </c>
      <c r="AZ47">
        <v>0</v>
      </c>
      <c r="BA47">
        <v>40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Y47*Source!I42</f>
        <v>4.5599999999999996</v>
      </c>
      <c r="CY47">
        <f>AD47</f>
        <v>9.6199999999999992</v>
      </c>
      <c r="CZ47">
        <f>AH47</f>
        <v>9.6199999999999992</v>
      </c>
      <c r="DA47">
        <f>AL47</f>
        <v>1</v>
      </c>
      <c r="DB47">
        <v>0</v>
      </c>
    </row>
    <row r="48" spans="1:106" x14ac:dyDescent="0.2">
      <c r="A48">
        <f>ROW(Source!A42)</f>
        <v>42</v>
      </c>
      <c r="B48">
        <v>35007309</v>
      </c>
      <c r="C48">
        <v>35007549</v>
      </c>
      <c r="D48">
        <v>31490815</v>
      </c>
      <c r="E48">
        <v>1</v>
      </c>
      <c r="F48">
        <v>1</v>
      </c>
      <c r="G48">
        <v>1</v>
      </c>
      <c r="H48">
        <v>3</v>
      </c>
      <c r="I48" t="s">
        <v>94</v>
      </c>
      <c r="J48" t="s">
        <v>96</v>
      </c>
      <c r="K48" t="s">
        <v>95</v>
      </c>
      <c r="L48">
        <v>1355</v>
      </c>
      <c r="N48">
        <v>1010</v>
      </c>
      <c r="O48" t="s">
        <v>78</v>
      </c>
      <c r="P48" t="s">
        <v>78</v>
      </c>
      <c r="Q48">
        <v>100</v>
      </c>
      <c r="W48">
        <v>0</v>
      </c>
      <c r="X48">
        <v>-1055249616</v>
      </c>
      <c r="Y48">
        <v>1</v>
      </c>
      <c r="AA48">
        <v>24962.639999999999</v>
      </c>
      <c r="AB48">
        <v>0</v>
      </c>
      <c r="AC48">
        <v>0</v>
      </c>
      <c r="AD48">
        <v>0</v>
      </c>
      <c r="AE48">
        <v>6639</v>
      </c>
      <c r="AF48">
        <v>0</v>
      </c>
      <c r="AG48">
        <v>0</v>
      </c>
      <c r="AH48">
        <v>0</v>
      </c>
      <c r="AI48">
        <v>3.76</v>
      </c>
      <c r="AJ48">
        <v>1</v>
      </c>
      <c r="AK48">
        <v>1</v>
      </c>
      <c r="AL48">
        <v>1</v>
      </c>
      <c r="AN48">
        <v>0</v>
      </c>
      <c r="AO48">
        <v>0</v>
      </c>
      <c r="AP48">
        <v>0</v>
      </c>
      <c r="AQ48">
        <v>0</v>
      </c>
      <c r="AR48">
        <v>0</v>
      </c>
      <c r="AS48" t="s">
        <v>3</v>
      </c>
      <c r="AT48">
        <v>1</v>
      </c>
      <c r="AU48" t="s">
        <v>3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Y48*Source!I42</f>
        <v>0.15</v>
      </c>
      <c r="CY48">
        <f>AA48</f>
        <v>24962.639999999999</v>
      </c>
      <c r="CZ48">
        <f>AE48</f>
        <v>6639</v>
      </c>
      <c r="DA48">
        <f>AI48</f>
        <v>3.76</v>
      </c>
      <c r="DB48">
        <v>0</v>
      </c>
    </row>
    <row r="49" spans="1:106" x14ac:dyDescent="0.2">
      <c r="A49">
        <f>ROW(Source!A42)</f>
        <v>42</v>
      </c>
      <c r="B49">
        <v>35007309</v>
      </c>
      <c r="C49">
        <v>35007549</v>
      </c>
      <c r="D49">
        <v>31435925</v>
      </c>
      <c r="E49">
        <v>17</v>
      </c>
      <c r="F49">
        <v>1</v>
      </c>
      <c r="G49">
        <v>1</v>
      </c>
      <c r="H49">
        <v>3</v>
      </c>
      <c r="I49" t="s">
        <v>311</v>
      </c>
      <c r="J49" t="s">
        <v>3</v>
      </c>
      <c r="K49" t="s">
        <v>312</v>
      </c>
      <c r="L49">
        <v>1374</v>
      </c>
      <c r="N49">
        <v>1013</v>
      </c>
      <c r="O49" t="s">
        <v>313</v>
      </c>
      <c r="P49" t="s">
        <v>313</v>
      </c>
      <c r="Q49">
        <v>1</v>
      </c>
      <c r="W49">
        <v>0</v>
      </c>
      <c r="X49">
        <v>-1731369543</v>
      </c>
      <c r="Y49">
        <v>5.85</v>
      </c>
      <c r="AA49">
        <v>1</v>
      </c>
      <c r="AB49">
        <v>0</v>
      </c>
      <c r="AC49">
        <v>0</v>
      </c>
      <c r="AD49">
        <v>0</v>
      </c>
      <c r="AE49">
        <v>1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5.85</v>
      </c>
      <c r="AU49" t="s">
        <v>3</v>
      </c>
      <c r="AV49">
        <v>0</v>
      </c>
      <c r="AW49">
        <v>2</v>
      </c>
      <c r="AX49">
        <v>35007965</v>
      </c>
      <c r="AY49">
        <v>1</v>
      </c>
      <c r="AZ49">
        <v>0</v>
      </c>
      <c r="BA49">
        <v>41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Y49*Source!I42</f>
        <v>0.87749999999999995</v>
      </c>
      <c r="CY49">
        <f>AA49</f>
        <v>1</v>
      </c>
      <c r="CZ49">
        <f>AE49</f>
        <v>1</v>
      </c>
      <c r="DA49">
        <f>AI49</f>
        <v>1</v>
      </c>
      <c r="DB49">
        <v>0</v>
      </c>
    </row>
    <row r="50" spans="1:106" x14ac:dyDescent="0.2">
      <c r="A50">
        <f>ROW(Source!A44)</f>
        <v>44</v>
      </c>
      <c r="B50">
        <v>35007309</v>
      </c>
      <c r="C50">
        <v>35007556</v>
      </c>
      <c r="D50">
        <v>31709886</v>
      </c>
      <c r="E50">
        <v>1</v>
      </c>
      <c r="F50">
        <v>1</v>
      </c>
      <c r="G50">
        <v>1</v>
      </c>
      <c r="H50">
        <v>1</v>
      </c>
      <c r="I50" t="s">
        <v>314</v>
      </c>
      <c r="J50" t="s">
        <v>3</v>
      </c>
      <c r="K50" t="s">
        <v>315</v>
      </c>
      <c r="L50">
        <v>1191</v>
      </c>
      <c r="N50">
        <v>1013</v>
      </c>
      <c r="O50" t="s">
        <v>290</v>
      </c>
      <c r="P50" t="s">
        <v>290</v>
      </c>
      <c r="Q50">
        <v>1</v>
      </c>
      <c r="W50">
        <v>0</v>
      </c>
      <c r="X50">
        <v>1069510174</v>
      </c>
      <c r="Y50">
        <v>46.4</v>
      </c>
      <c r="AA50">
        <v>0</v>
      </c>
      <c r="AB50">
        <v>0</v>
      </c>
      <c r="AC50">
        <v>0</v>
      </c>
      <c r="AD50">
        <v>9.6199999999999992</v>
      </c>
      <c r="AE50">
        <v>0</v>
      </c>
      <c r="AF50">
        <v>0</v>
      </c>
      <c r="AG50">
        <v>0</v>
      </c>
      <c r="AH50">
        <v>9.6199999999999992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46.4</v>
      </c>
      <c r="AU50" t="s">
        <v>3</v>
      </c>
      <c r="AV50">
        <v>1</v>
      </c>
      <c r="AW50">
        <v>2</v>
      </c>
      <c r="AX50">
        <v>35007966</v>
      </c>
      <c r="AY50">
        <v>1</v>
      </c>
      <c r="AZ50">
        <v>0</v>
      </c>
      <c r="BA50">
        <v>42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Y50*Source!I44</f>
        <v>3.7119999999999997</v>
      </c>
      <c r="CY50">
        <f>AD50</f>
        <v>9.6199999999999992</v>
      </c>
      <c r="CZ50">
        <f>AH50</f>
        <v>9.6199999999999992</v>
      </c>
      <c r="DA50">
        <f>AL50</f>
        <v>1</v>
      </c>
      <c r="DB50">
        <v>0</v>
      </c>
    </row>
    <row r="51" spans="1:106" x14ac:dyDescent="0.2">
      <c r="A51">
        <f>ROW(Source!A44)</f>
        <v>44</v>
      </c>
      <c r="B51">
        <v>35007309</v>
      </c>
      <c r="C51">
        <v>35007556</v>
      </c>
      <c r="D51">
        <v>31490815</v>
      </c>
      <c r="E51">
        <v>1</v>
      </c>
      <c r="F51">
        <v>1</v>
      </c>
      <c r="G51">
        <v>1</v>
      </c>
      <c r="H51">
        <v>3</v>
      </c>
      <c r="I51" t="s">
        <v>94</v>
      </c>
      <c r="J51" t="s">
        <v>96</v>
      </c>
      <c r="K51" t="s">
        <v>102</v>
      </c>
      <c r="L51">
        <v>1355</v>
      </c>
      <c r="N51">
        <v>1010</v>
      </c>
      <c r="O51" t="s">
        <v>78</v>
      </c>
      <c r="P51" t="s">
        <v>78</v>
      </c>
      <c r="Q51">
        <v>100</v>
      </c>
      <c r="W51">
        <v>0</v>
      </c>
      <c r="X51">
        <v>1767810406</v>
      </c>
      <c r="Y51">
        <v>1</v>
      </c>
      <c r="AA51">
        <v>24962.639999999999</v>
      </c>
      <c r="AB51">
        <v>0</v>
      </c>
      <c r="AC51">
        <v>0</v>
      </c>
      <c r="AD51">
        <v>0</v>
      </c>
      <c r="AE51">
        <v>6639</v>
      </c>
      <c r="AF51">
        <v>0</v>
      </c>
      <c r="AG51">
        <v>0</v>
      </c>
      <c r="AH51">
        <v>0</v>
      </c>
      <c r="AI51">
        <v>3.76</v>
      </c>
      <c r="AJ51">
        <v>1</v>
      </c>
      <c r="AK51">
        <v>1</v>
      </c>
      <c r="AL51">
        <v>1</v>
      </c>
      <c r="AN51">
        <v>0</v>
      </c>
      <c r="AO51">
        <v>0</v>
      </c>
      <c r="AP51">
        <v>0</v>
      </c>
      <c r="AQ51">
        <v>0</v>
      </c>
      <c r="AR51">
        <v>0</v>
      </c>
      <c r="AS51" t="s">
        <v>3</v>
      </c>
      <c r="AT51">
        <v>1</v>
      </c>
      <c r="AU51" t="s">
        <v>3</v>
      </c>
      <c r="AV51">
        <v>0</v>
      </c>
      <c r="AW51">
        <v>1</v>
      </c>
      <c r="AX51">
        <v>-1</v>
      </c>
      <c r="AY51">
        <v>0</v>
      </c>
      <c r="AZ51">
        <v>0</v>
      </c>
      <c r="BA51" t="s">
        <v>3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Y51*Source!I44</f>
        <v>0.08</v>
      </c>
      <c r="CY51">
        <f>AA51</f>
        <v>24962.639999999999</v>
      </c>
      <c r="CZ51">
        <f>AE51</f>
        <v>6639</v>
      </c>
      <c r="DA51">
        <f>AI51</f>
        <v>3.76</v>
      </c>
      <c r="DB51">
        <v>0</v>
      </c>
    </row>
    <row r="52" spans="1:106" x14ac:dyDescent="0.2">
      <c r="A52">
        <f>ROW(Source!A44)</f>
        <v>44</v>
      </c>
      <c r="B52">
        <v>35007309</v>
      </c>
      <c r="C52">
        <v>35007556</v>
      </c>
      <c r="D52">
        <v>31435925</v>
      </c>
      <c r="E52">
        <v>17</v>
      </c>
      <c r="F52">
        <v>1</v>
      </c>
      <c r="G52">
        <v>1</v>
      </c>
      <c r="H52">
        <v>3</v>
      </c>
      <c r="I52" t="s">
        <v>311</v>
      </c>
      <c r="J52" t="s">
        <v>3</v>
      </c>
      <c r="K52" t="s">
        <v>312</v>
      </c>
      <c r="L52">
        <v>1374</v>
      </c>
      <c r="N52">
        <v>1013</v>
      </c>
      <c r="O52" t="s">
        <v>313</v>
      </c>
      <c r="P52" t="s">
        <v>313</v>
      </c>
      <c r="Q52">
        <v>1</v>
      </c>
      <c r="W52">
        <v>0</v>
      </c>
      <c r="X52">
        <v>-1731369543</v>
      </c>
      <c r="Y52">
        <v>8.93</v>
      </c>
      <c r="AA52">
        <v>1</v>
      </c>
      <c r="AB52">
        <v>0</v>
      </c>
      <c r="AC52">
        <v>0</v>
      </c>
      <c r="AD52">
        <v>0</v>
      </c>
      <c r="AE52">
        <v>1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8.93</v>
      </c>
      <c r="AU52" t="s">
        <v>3</v>
      </c>
      <c r="AV52">
        <v>0</v>
      </c>
      <c r="AW52">
        <v>2</v>
      </c>
      <c r="AX52">
        <v>35007967</v>
      </c>
      <c r="AY52">
        <v>1</v>
      </c>
      <c r="AZ52">
        <v>0</v>
      </c>
      <c r="BA52">
        <v>43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Y52*Source!I44</f>
        <v>0.71440000000000003</v>
      </c>
      <c r="CY52">
        <f>AA52</f>
        <v>1</v>
      </c>
      <c r="CZ52">
        <f>AE52</f>
        <v>1</v>
      </c>
      <c r="DA52">
        <f>AI52</f>
        <v>1</v>
      </c>
      <c r="DB52">
        <v>0</v>
      </c>
    </row>
    <row r="53" spans="1:106" x14ac:dyDescent="0.2">
      <c r="A53">
        <f>ROW(Source!A46)</f>
        <v>46</v>
      </c>
      <c r="B53">
        <v>35007309</v>
      </c>
      <c r="C53">
        <v>35007563</v>
      </c>
      <c r="D53">
        <v>31709886</v>
      </c>
      <c r="E53">
        <v>1</v>
      </c>
      <c r="F53">
        <v>1</v>
      </c>
      <c r="G53">
        <v>1</v>
      </c>
      <c r="H53">
        <v>1</v>
      </c>
      <c r="I53" t="s">
        <v>314</v>
      </c>
      <c r="J53" t="s">
        <v>3</v>
      </c>
      <c r="K53" t="s">
        <v>315</v>
      </c>
      <c r="L53">
        <v>1191</v>
      </c>
      <c r="N53">
        <v>1013</v>
      </c>
      <c r="O53" t="s">
        <v>290</v>
      </c>
      <c r="P53" t="s">
        <v>290</v>
      </c>
      <c r="Q53">
        <v>1</v>
      </c>
      <c r="W53">
        <v>0</v>
      </c>
      <c r="X53">
        <v>1069510174</v>
      </c>
      <c r="Y53">
        <v>5.53</v>
      </c>
      <c r="AA53">
        <v>0</v>
      </c>
      <c r="AB53">
        <v>0</v>
      </c>
      <c r="AC53">
        <v>0</v>
      </c>
      <c r="AD53">
        <v>9.6199999999999992</v>
      </c>
      <c r="AE53">
        <v>0</v>
      </c>
      <c r="AF53">
        <v>0</v>
      </c>
      <c r="AG53">
        <v>0</v>
      </c>
      <c r="AH53">
        <v>9.6199999999999992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5.53</v>
      </c>
      <c r="AU53" t="s">
        <v>3</v>
      </c>
      <c r="AV53">
        <v>1</v>
      </c>
      <c r="AW53">
        <v>2</v>
      </c>
      <c r="AX53">
        <v>35007968</v>
      </c>
      <c r="AY53">
        <v>1</v>
      </c>
      <c r="AZ53">
        <v>0</v>
      </c>
      <c r="BA53">
        <v>44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Y53*Source!I46</f>
        <v>66.36</v>
      </c>
      <c r="CY53">
        <f>AD53</f>
        <v>9.6199999999999992</v>
      </c>
      <c r="CZ53">
        <f>AH53</f>
        <v>9.6199999999999992</v>
      </c>
      <c r="DA53">
        <f>AL53</f>
        <v>1</v>
      </c>
      <c r="DB53">
        <v>0</v>
      </c>
    </row>
    <row r="54" spans="1:106" x14ac:dyDescent="0.2">
      <c r="A54">
        <f>ROW(Source!A46)</f>
        <v>46</v>
      </c>
      <c r="B54">
        <v>35007309</v>
      </c>
      <c r="C54">
        <v>35007563</v>
      </c>
      <c r="D54">
        <v>31703727</v>
      </c>
      <c r="E54">
        <v>1</v>
      </c>
      <c r="F54">
        <v>1</v>
      </c>
      <c r="G54">
        <v>1</v>
      </c>
      <c r="H54">
        <v>1</v>
      </c>
      <c r="I54" t="s">
        <v>293</v>
      </c>
      <c r="J54" t="s">
        <v>3</v>
      </c>
      <c r="K54" t="s">
        <v>294</v>
      </c>
      <c r="L54">
        <v>1191</v>
      </c>
      <c r="N54">
        <v>1013</v>
      </c>
      <c r="O54" t="s">
        <v>290</v>
      </c>
      <c r="P54" t="s">
        <v>290</v>
      </c>
      <c r="Q54">
        <v>1</v>
      </c>
      <c r="W54">
        <v>0</v>
      </c>
      <c r="X54">
        <v>-1417349443</v>
      </c>
      <c r="Y54">
        <v>0.02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0.02</v>
      </c>
      <c r="AU54" t="s">
        <v>3</v>
      </c>
      <c r="AV54">
        <v>2</v>
      </c>
      <c r="AW54">
        <v>2</v>
      </c>
      <c r="AX54">
        <v>35007969</v>
      </c>
      <c r="AY54">
        <v>1</v>
      </c>
      <c r="AZ54">
        <v>0</v>
      </c>
      <c r="BA54">
        <v>45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Y54*Source!I46</f>
        <v>0.24</v>
      </c>
      <c r="CY54">
        <f>AD54</f>
        <v>0</v>
      </c>
      <c r="CZ54">
        <f>AH54</f>
        <v>0</v>
      </c>
      <c r="DA54">
        <f>AL54</f>
        <v>1</v>
      </c>
      <c r="DB54">
        <v>0</v>
      </c>
    </row>
    <row r="55" spans="1:106" x14ac:dyDescent="0.2">
      <c r="A55">
        <f>ROW(Source!A46)</f>
        <v>46</v>
      </c>
      <c r="B55">
        <v>35007309</v>
      </c>
      <c r="C55">
        <v>35007563</v>
      </c>
      <c r="D55">
        <v>31519244</v>
      </c>
      <c r="E55">
        <v>1</v>
      </c>
      <c r="F55">
        <v>1</v>
      </c>
      <c r="G55">
        <v>1</v>
      </c>
      <c r="H55">
        <v>2</v>
      </c>
      <c r="I55" t="s">
        <v>295</v>
      </c>
      <c r="J55" t="s">
        <v>296</v>
      </c>
      <c r="K55" t="s">
        <v>297</v>
      </c>
      <c r="L55">
        <v>1368</v>
      </c>
      <c r="N55">
        <v>1011</v>
      </c>
      <c r="O55" t="s">
        <v>298</v>
      </c>
      <c r="P55" t="s">
        <v>298</v>
      </c>
      <c r="Q55">
        <v>1</v>
      </c>
      <c r="W55">
        <v>0</v>
      </c>
      <c r="X55">
        <v>-1718674368</v>
      </c>
      <c r="Y55">
        <v>0.01</v>
      </c>
      <c r="AA55">
        <v>0</v>
      </c>
      <c r="AB55">
        <v>111.99</v>
      </c>
      <c r="AC55">
        <v>13.5</v>
      </c>
      <c r="AD55">
        <v>0</v>
      </c>
      <c r="AE55">
        <v>0</v>
      </c>
      <c r="AF55">
        <v>111.99</v>
      </c>
      <c r="AG55">
        <v>13.5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0.01</v>
      </c>
      <c r="AU55" t="s">
        <v>3</v>
      </c>
      <c r="AV55">
        <v>0</v>
      </c>
      <c r="AW55">
        <v>2</v>
      </c>
      <c r="AX55">
        <v>35007970</v>
      </c>
      <c r="AY55">
        <v>1</v>
      </c>
      <c r="AZ55">
        <v>0</v>
      </c>
      <c r="BA55">
        <v>46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Y55*Source!I46</f>
        <v>0.12</v>
      </c>
      <c r="CY55">
        <f>AB55</f>
        <v>111.99</v>
      </c>
      <c r="CZ55">
        <f>AF55</f>
        <v>111.99</v>
      </c>
      <c r="DA55">
        <f>AJ55</f>
        <v>1</v>
      </c>
      <c r="DB55">
        <v>0</v>
      </c>
    </row>
    <row r="56" spans="1:106" x14ac:dyDescent="0.2">
      <c r="A56">
        <f>ROW(Source!A46)</f>
        <v>46</v>
      </c>
      <c r="B56">
        <v>35007309</v>
      </c>
      <c r="C56">
        <v>35007563</v>
      </c>
      <c r="D56">
        <v>31520646</v>
      </c>
      <c r="E56">
        <v>1</v>
      </c>
      <c r="F56">
        <v>1</v>
      </c>
      <c r="G56">
        <v>1</v>
      </c>
      <c r="H56">
        <v>2</v>
      </c>
      <c r="I56" t="s">
        <v>299</v>
      </c>
      <c r="J56" t="s">
        <v>300</v>
      </c>
      <c r="K56" t="s">
        <v>301</v>
      </c>
      <c r="L56">
        <v>1368</v>
      </c>
      <c r="N56">
        <v>1011</v>
      </c>
      <c r="O56" t="s">
        <v>298</v>
      </c>
      <c r="P56" t="s">
        <v>298</v>
      </c>
      <c r="Q56">
        <v>1</v>
      </c>
      <c r="W56">
        <v>0</v>
      </c>
      <c r="X56">
        <v>1372534845</v>
      </c>
      <c r="Y56">
        <v>0.01</v>
      </c>
      <c r="AA56">
        <v>0</v>
      </c>
      <c r="AB56">
        <v>65.709999999999994</v>
      </c>
      <c r="AC56">
        <v>11.6</v>
      </c>
      <c r="AD56">
        <v>0</v>
      </c>
      <c r="AE56">
        <v>0</v>
      </c>
      <c r="AF56">
        <v>65.709999999999994</v>
      </c>
      <c r="AG56">
        <v>11.6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0.01</v>
      </c>
      <c r="AU56" t="s">
        <v>3</v>
      </c>
      <c r="AV56">
        <v>0</v>
      </c>
      <c r="AW56">
        <v>2</v>
      </c>
      <c r="AX56">
        <v>35007971</v>
      </c>
      <c r="AY56">
        <v>1</v>
      </c>
      <c r="AZ56">
        <v>0</v>
      </c>
      <c r="BA56">
        <v>47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Y56*Source!I46</f>
        <v>0.12</v>
      </c>
      <c r="CY56">
        <f>AB56</f>
        <v>65.709999999999994</v>
      </c>
      <c r="CZ56">
        <f>AF56</f>
        <v>65.709999999999994</v>
      </c>
      <c r="DA56">
        <f>AJ56</f>
        <v>1</v>
      </c>
      <c r="DB56">
        <v>0</v>
      </c>
    </row>
    <row r="57" spans="1:106" x14ac:dyDescent="0.2">
      <c r="A57">
        <f>ROW(Source!A46)</f>
        <v>46</v>
      </c>
      <c r="B57">
        <v>35007309</v>
      </c>
      <c r="C57">
        <v>35007563</v>
      </c>
      <c r="D57">
        <v>31436888</v>
      </c>
      <c r="E57">
        <v>1</v>
      </c>
      <c r="F57">
        <v>1</v>
      </c>
      <c r="G57">
        <v>1</v>
      </c>
      <c r="H57">
        <v>3</v>
      </c>
      <c r="I57" t="s">
        <v>345</v>
      </c>
      <c r="J57" t="s">
        <v>346</v>
      </c>
      <c r="K57" t="s">
        <v>347</v>
      </c>
      <c r="L57">
        <v>1348</v>
      </c>
      <c r="N57">
        <v>1009</v>
      </c>
      <c r="O57" t="s">
        <v>44</v>
      </c>
      <c r="P57" t="s">
        <v>44</v>
      </c>
      <c r="Q57">
        <v>1000</v>
      </c>
      <c r="W57">
        <v>0</v>
      </c>
      <c r="X57">
        <v>-168273048</v>
      </c>
      <c r="Y57">
        <v>8.0000000000000004E-4</v>
      </c>
      <c r="AA57">
        <v>65171.57</v>
      </c>
      <c r="AB57">
        <v>0</v>
      </c>
      <c r="AC57">
        <v>0</v>
      </c>
      <c r="AD57">
        <v>0</v>
      </c>
      <c r="AE57">
        <v>4488.3999999999996</v>
      </c>
      <c r="AF57">
        <v>0</v>
      </c>
      <c r="AG57">
        <v>0</v>
      </c>
      <c r="AH57">
        <v>0</v>
      </c>
      <c r="AI57">
        <v>14.52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8.0000000000000004E-4</v>
      </c>
      <c r="AU57" t="s">
        <v>3</v>
      </c>
      <c r="AV57">
        <v>0</v>
      </c>
      <c r="AW57">
        <v>2</v>
      </c>
      <c r="AX57">
        <v>35007972</v>
      </c>
      <c r="AY57">
        <v>1</v>
      </c>
      <c r="AZ57">
        <v>0</v>
      </c>
      <c r="BA57">
        <v>48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Y57*Source!I46</f>
        <v>9.6000000000000009E-3</v>
      </c>
      <c r="CY57">
        <f t="shared" ref="CY57:CY62" si="6">AA57</f>
        <v>65171.57</v>
      </c>
      <c r="CZ57">
        <f t="shared" ref="CZ57:CZ62" si="7">AE57</f>
        <v>4488.3999999999996</v>
      </c>
      <c r="DA57">
        <f t="shared" ref="DA57:DA62" si="8">AI57</f>
        <v>14.52</v>
      </c>
      <c r="DB57">
        <v>0</v>
      </c>
    </row>
    <row r="58" spans="1:106" x14ac:dyDescent="0.2">
      <c r="A58">
        <f>ROW(Source!A46)</f>
        <v>46</v>
      </c>
      <c r="B58">
        <v>35007309</v>
      </c>
      <c r="C58">
        <v>35007563</v>
      </c>
      <c r="D58">
        <v>31436924</v>
      </c>
      <c r="E58">
        <v>1</v>
      </c>
      <c r="F58">
        <v>1</v>
      </c>
      <c r="G58">
        <v>1</v>
      </c>
      <c r="H58">
        <v>3</v>
      </c>
      <c r="I58" t="s">
        <v>348</v>
      </c>
      <c r="J58" t="s">
        <v>349</v>
      </c>
      <c r="K58" t="s">
        <v>350</v>
      </c>
      <c r="L58">
        <v>1348</v>
      </c>
      <c r="N58">
        <v>1009</v>
      </c>
      <c r="O58" t="s">
        <v>44</v>
      </c>
      <c r="P58" t="s">
        <v>44</v>
      </c>
      <c r="Q58">
        <v>1000</v>
      </c>
      <c r="W58">
        <v>0</v>
      </c>
      <c r="X58">
        <v>-1449423263</v>
      </c>
      <c r="Y58">
        <v>2.0000000000000002E-5</v>
      </c>
      <c r="AA58">
        <v>47904.75</v>
      </c>
      <c r="AB58">
        <v>0</v>
      </c>
      <c r="AC58">
        <v>0</v>
      </c>
      <c r="AD58">
        <v>0</v>
      </c>
      <c r="AE58">
        <v>8105.71</v>
      </c>
      <c r="AF58">
        <v>0</v>
      </c>
      <c r="AG58">
        <v>0</v>
      </c>
      <c r="AH58">
        <v>0</v>
      </c>
      <c r="AI58">
        <v>5.91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2.0000000000000002E-5</v>
      </c>
      <c r="AU58" t="s">
        <v>3</v>
      </c>
      <c r="AV58">
        <v>0</v>
      </c>
      <c r="AW58">
        <v>2</v>
      </c>
      <c r="AX58">
        <v>35007973</v>
      </c>
      <c r="AY58">
        <v>1</v>
      </c>
      <c r="AZ58">
        <v>0</v>
      </c>
      <c r="BA58">
        <v>49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Y58*Source!I46</f>
        <v>2.4000000000000003E-4</v>
      </c>
      <c r="CY58">
        <f t="shared" si="6"/>
        <v>47904.75</v>
      </c>
      <c r="CZ58">
        <f t="shared" si="7"/>
        <v>8105.71</v>
      </c>
      <c r="DA58">
        <f t="shared" si="8"/>
        <v>5.91</v>
      </c>
      <c r="DB58">
        <v>0</v>
      </c>
    </row>
    <row r="59" spans="1:106" x14ac:dyDescent="0.2">
      <c r="A59">
        <f>ROW(Source!A46)</f>
        <v>46</v>
      </c>
      <c r="B59">
        <v>35007309</v>
      </c>
      <c r="C59">
        <v>35007563</v>
      </c>
      <c r="D59">
        <v>31438964</v>
      </c>
      <c r="E59">
        <v>1</v>
      </c>
      <c r="F59">
        <v>1</v>
      </c>
      <c r="G59">
        <v>1</v>
      </c>
      <c r="H59">
        <v>3</v>
      </c>
      <c r="I59" t="s">
        <v>322</v>
      </c>
      <c r="J59" t="s">
        <v>323</v>
      </c>
      <c r="K59" t="s">
        <v>324</v>
      </c>
      <c r="L59">
        <v>1308</v>
      </c>
      <c r="N59">
        <v>1003</v>
      </c>
      <c r="O59" t="s">
        <v>57</v>
      </c>
      <c r="P59" t="s">
        <v>57</v>
      </c>
      <c r="Q59">
        <v>100</v>
      </c>
      <c r="W59">
        <v>0</v>
      </c>
      <c r="X59">
        <v>568244124</v>
      </c>
      <c r="Y59">
        <v>2.3999999999999998E-3</v>
      </c>
      <c r="AA59">
        <v>538.79999999999995</v>
      </c>
      <c r="AB59">
        <v>0</v>
      </c>
      <c r="AC59">
        <v>0</v>
      </c>
      <c r="AD59">
        <v>0</v>
      </c>
      <c r="AE59">
        <v>120</v>
      </c>
      <c r="AF59">
        <v>0</v>
      </c>
      <c r="AG59">
        <v>0</v>
      </c>
      <c r="AH59">
        <v>0</v>
      </c>
      <c r="AI59">
        <v>4.49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2.3999999999999998E-3</v>
      </c>
      <c r="AU59" t="s">
        <v>3</v>
      </c>
      <c r="AV59">
        <v>0</v>
      </c>
      <c r="AW59">
        <v>2</v>
      </c>
      <c r="AX59">
        <v>35007974</v>
      </c>
      <c r="AY59">
        <v>1</v>
      </c>
      <c r="AZ59">
        <v>0</v>
      </c>
      <c r="BA59">
        <v>50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Y59*Source!I46</f>
        <v>2.8799999999999999E-2</v>
      </c>
      <c r="CY59">
        <f t="shared" si="6"/>
        <v>538.79999999999995</v>
      </c>
      <c r="CZ59">
        <f t="shared" si="7"/>
        <v>120</v>
      </c>
      <c r="DA59">
        <f t="shared" si="8"/>
        <v>4.49</v>
      </c>
      <c r="DB59">
        <v>0</v>
      </c>
    </row>
    <row r="60" spans="1:106" x14ac:dyDescent="0.2">
      <c r="A60">
        <f>ROW(Source!A46)</f>
        <v>46</v>
      </c>
      <c r="B60">
        <v>35007309</v>
      </c>
      <c r="C60">
        <v>35007563</v>
      </c>
      <c r="D60">
        <v>31488992</v>
      </c>
      <c r="E60">
        <v>1</v>
      </c>
      <c r="F60">
        <v>1</v>
      </c>
      <c r="G60">
        <v>1</v>
      </c>
      <c r="H60">
        <v>3</v>
      </c>
      <c r="I60" t="s">
        <v>351</v>
      </c>
      <c r="J60" t="s">
        <v>352</v>
      </c>
      <c r="K60" t="s">
        <v>353</v>
      </c>
      <c r="L60">
        <v>1355</v>
      </c>
      <c r="N60">
        <v>1010</v>
      </c>
      <c r="O60" t="s">
        <v>78</v>
      </c>
      <c r="P60" t="s">
        <v>78</v>
      </c>
      <c r="Q60">
        <v>100</v>
      </c>
      <c r="W60">
        <v>0</v>
      </c>
      <c r="X60">
        <v>1190679243</v>
      </c>
      <c r="Y60">
        <v>3.1E-2</v>
      </c>
      <c r="AA60">
        <v>2173.5</v>
      </c>
      <c r="AB60">
        <v>0</v>
      </c>
      <c r="AC60">
        <v>0</v>
      </c>
      <c r="AD60">
        <v>0</v>
      </c>
      <c r="AE60">
        <v>378</v>
      </c>
      <c r="AF60">
        <v>0</v>
      </c>
      <c r="AG60">
        <v>0</v>
      </c>
      <c r="AH60">
        <v>0</v>
      </c>
      <c r="AI60">
        <v>5.75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3.1E-2</v>
      </c>
      <c r="AU60" t="s">
        <v>3</v>
      </c>
      <c r="AV60">
        <v>0</v>
      </c>
      <c r="AW60">
        <v>2</v>
      </c>
      <c r="AX60">
        <v>35007975</v>
      </c>
      <c r="AY60">
        <v>1</v>
      </c>
      <c r="AZ60">
        <v>0</v>
      </c>
      <c r="BA60">
        <v>51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Y60*Source!I46</f>
        <v>0.372</v>
      </c>
      <c r="CY60">
        <f t="shared" si="6"/>
        <v>2173.5</v>
      </c>
      <c r="CZ60">
        <f t="shared" si="7"/>
        <v>378</v>
      </c>
      <c r="DA60">
        <f t="shared" si="8"/>
        <v>5.75</v>
      </c>
      <c r="DB60">
        <v>0</v>
      </c>
    </row>
    <row r="61" spans="1:106" x14ac:dyDescent="0.2">
      <c r="A61">
        <f>ROW(Source!A46)</f>
        <v>46</v>
      </c>
      <c r="B61">
        <v>35007309</v>
      </c>
      <c r="C61">
        <v>35007563</v>
      </c>
      <c r="D61">
        <v>31435925</v>
      </c>
      <c r="E61">
        <v>17</v>
      </c>
      <c r="F61">
        <v>1</v>
      </c>
      <c r="G61">
        <v>1</v>
      </c>
      <c r="H61">
        <v>3</v>
      </c>
      <c r="I61" t="s">
        <v>311</v>
      </c>
      <c r="J61" t="s">
        <v>3</v>
      </c>
      <c r="K61" t="s">
        <v>312</v>
      </c>
      <c r="L61">
        <v>1374</v>
      </c>
      <c r="N61">
        <v>1013</v>
      </c>
      <c r="O61" t="s">
        <v>313</v>
      </c>
      <c r="P61" t="s">
        <v>313</v>
      </c>
      <c r="Q61">
        <v>1</v>
      </c>
      <c r="W61">
        <v>0</v>
      </c>
      <c r="X61">
        <v>-1731369543</v>
      </c>
      <c r="Y61">
        <v>1.06</v>
      </c>
      <c r="AA61">
        <v>1</v>
      </c>
      <c r="AB61">
        <v>0</v>
      </c>
      <c r="AC61">
        <v>0</v>
      </c>
      <c r="AD61">
        <v>0</v>
      </c>
      <c r="AE61">
        <v>1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1.06</v>
      </c>
      <c r="AU61" t="s">
        <v>3</v>
      </c>
      <c r="AV61">
        <v>0</v>
      </c>
      <c r="AW61">
        <v>2</v>
      </c>
      <c r="AX61">
        <v>35007976</v>
      </c>
      <c r="AY61">
        <v>1</v>
      </c>
      <c r="AZ61">
        <v>0</v>
      </c>
      <c r="BA61">
        <v>52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Y61*Source!I46</f>
        <v>12.72</v>
      </c>
      <c r="CY61">
        <f t="shared" si="6"/>
        <v>1</v>
      </c>
      <c r="CZ61">
        <f t="shared" si="7"/>
        <v>1</v>
      </c>
      <c r="DA61">
        <f t="shared" si="8"/>
        <v>1</v>
      </c>
      <c r="DB61">
        <v>0</v>
      </c>
    </row>
    <row r="62" spans="1:106" x14ac:dyDescent="0.2">
      <c r="A62">
        <f>ROW(Source!A46)</f>
        <v>46</v>
      </c>
      <c r="B62">
        <v>35007309</v>
      </c>
      <c r="C62">
        <v>35007563</v>
      </c>
      <c r="D62">
        <v>0</v>
      </c>
      <c r="E62">
        <v>0</v>
      </c>
      <c r="F62">
        <v>1</v>
      </c>
      <c r="G62">
        <v>1</v>
      </c>
      <c r="H62">
        <v>3</v>
      </c>
      <c r="I62" t="s">
        <v>108</v>
      </c>
      <c r="J62" t="s">
        <v>3</v>
      </c>
      <c r="K62" t="s">
        <v>109</v>
      </c>
      <c r="L62">
        <v>1371</v>
      </c>
      <c r="N62">
        <v>1013</v>
      </c>
      <c r="O62" t="s">
        <v>83</v>
      </c>
      <c r="P62" t="s">
        <v>83</v>
      </c>
      <c r="Q62">
        <v>1</v>
      </c>
      <c r="W62">
        <v>0</v>
      </c>
      <c r="X62">
        <v>-816538959</v>
      </c>
      <c r="Y62">
        <v>1</v>
      </c>
      <c r="AA62">
        <v>3585.59</v>
      </c>
      <c r="AB62">
        <v>0</v>
      </c>
      <c r="AC62">
        <v>0</v>
      </c>
      <c r="AD62">
        <v>0</v>
      </c>
      <c r="AE62">
        <v>520.31000000000006</v>
      </c>
      <c r="AF62">
        <v>0</v>
      </c>
      <c r="AG62">
        <v>0</v>
      </c>
      <c r="AH62">
        <v>0</v>
      </c>
      <c r="AI62">
        <v>7.24</v>
      </c>
      <c r="AJ62">
        <v>1</v>
      </c>
      <c r="AK62">
        <v>1</v>
      </c>
      <c r="AL62">
        <v>1</v>
      </c>
      <c r="AN62">
        <v>0</v>
      </c>
      <c r="AO62">
        <v>0</v>
      </c>
      <c r="AP62">
        <v>0</v>
      </c>
      <c r="AQ62">
        <v>0</v>
      </c>
      <c r="AR62">
        <v>0</v>
      </c>
      <c r="AS62" t="s">
        <v>3</v>
      </c>
      <c r="AT62">
        <v>1</v>
      </c>
      <c r="AU62" t="s">
        <v>3</v>
      </c>
      <c r="AV62">
        <v>0</v>
      </c>
      <c r="AW62">
        <v>1</v>
      </c>
      <c r="AX62">
        <v>-1</v>
      </c>
      <c r="AY62">
        <v>0</v>
      </c>
      <c r="AZ62">
        <v>0</v>
      </c>
      <c r="BA62" t="s">
        <v>3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Y62*Source!I46</f>
        <v>12</v>
      </c>
      <c r="CY62">
        <f t="shared" si="6"/>
        <v>3585.59</v>
      </c>
      <c r="CZ62">
        <f t="shared" si="7"/>
        <v>520.31000000000006</v>
      </c>
      <c r="DA62">
        <f t="shared" si="8"/>
        <v>7.24</v>
      </c>
      <c r="DB62">
        <v>0</v>
      </c>
    </row>
    <row r="63" spans="1:106" x14ac:dyDescent="0.2">
      <c r="A63">
        <f>ROW(Source!A48)</f>
        <v>48</v>
      </c>
      <c r="B63">
        <v>35007309</v>
      </c>
      <c r="C63">
        <v>35007584</v>
      </c>
      <c r="D63">
        <v>31703778</v>
      </c>
      <c r="E63">
        <v>1</v>
      </c>
      <c r="F63">
        <v>1</v>
      </c>
      <c r="G63">
        <v>1</v>
      </c>
      <c r="H63">
        <v>1</v>
      </c>
      <c r="I63" t="s">
        <v>334</v>
      </c>
      <c r="J63" t="s">
        <v>3</v>
      </c>
      <c r="K63" t="s">
        <v>335</v>
      </c>
      <c r="L63">
        <v>1191</v>
      </c>
      <c r="N63">
        <v>1013</v>
      </c>
      <c r="O63" t="s">
        <v>290</v>
      </c>
      <c r="P63" t="s">
        <v>290</v>
      </c>
      <c r="Q63">
        <v>1</v>
      </c>
      <c r="W63">
        <v>0</v>
      </c>
      <c r="X63">
        <v>145020957</v>
      </c>
      <c r="Y63">
        <v>62.41</v>
      </c>
      <c r="AA63">
        <v>0</v>
      </c>
      <c r="AB63">
        <v>0</v>
      </c>
      <c r="AC63">
        <v>0</v>
      </c>
      <c r="AD63">
        <v>9.07</v>
      </c>
      <c r="AE63">
        <v>0</v>
      </c>
      <c r="AF63">
        <v>0</v>
      </c>
      <c r="AG63">
        <v>0</v>
      </c>
      <c r="AH63">
        <v>9.07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62.41</v>
      </c>
      <c r="AU63" t="s">
        <v>3</v>
      </c>
      <c r="AV63">
        <v>1</v>
      </c>
      <c r="AW63">
        <v>2</v>
      </c>
      <c r="AX63">
        <v>35007977</v>
      </c>
      <c r="AY63">
        <v>1</v>
      </c>
      <c r="AZ63">
        <v>0</v>
      </c>
      <c r="BA63">
        <v>53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Y63*Source!I48</f>
        <v>6.7402799999999994</v>
      </c>
      <c r="CY63">
        <f>AD63</f>
        <v>9.07</v>
      </c>
      <c r="CZ63">
        <f>AH63</f>
        <v>9.07</v>
      </c>
      <c r="DA63">
        <f>AL63</f>
        <v>1</v>
      </c>
      <c r="DB63">
        <v>0</v>
      </c>
    </row>
    <row r="64" spans="1:106" x14ac:dyDescent="0.2">
      <c r="A64">
        <f>ROW(Source!A48)</f>
        <v>48</v>
      </c>
      <c r="B64">
        <v>35007309</v>
      </c>
      <c r="C64">
        <v>35007584</v>
      </c>
      <c r="D64">
        <v>31703727</v>
      </c>
      <c r="E64">
        <v>1</v>
      </c>
      <c r="F64">
        <v>1</v>
      </c>
      <c r="G64">
        <v>1</v>
      </c>
      <c r="H64">
        <v>1</v>
      </c>
      <c r="I64" t="s">
        <v>293</v>
      </c>
      <c r="J64" t="s">
        <v>3</v>
      </c>
      <c r="K64" t="s">
        <v>294</v>
      </c>
      <c r="L64">
        <v>1191</v>
      </c>
      <c r="N64">
        <v>1013</v>
      </c>
      <c r="O64" t="s">
        <v>290</v>
      </c>
      <c r="P64" t="s">
        <v>290</v>
      </c>
      <c r="Q64">
        <v>1</v>
      </c>
      <c r="W64">
        <v>0</v>
      </c>
      <c r="X64">
        <v>-1417349443</v>
      </c>
      <c r="Y64">
        <v>0.26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0.26</v>
      </c>
      <c r="AU64" t="s">
        <v>3</v>
      </c>
      <c r="AV64">
        <v>2</v>
      </c>
      <c r="AW64">
        <v>2</v>
      </c>
      <c r="AX64">
        <v>35007978</v>
      </c>
      <c r="AY64">
        <v>1</v>
      </c>
      <c r="AZ64">
        <v>0</v>
      </c>
      <c r="BA64">
        <v>54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Y64*Source!I48</f>
        <v>2.8080000000000001E-2</v>
      </c>
      <c r="CY64">
        <f>AD64</f>
        <v>0</v>
      </c>
      <c r="CZ64">
        <f>AH64</f>
        <v>0</v>
      </c>
      <c r="DA64">
        <f>AL64</f>
        <v>1</v>
      </c>
      <c r="DB64">
        <v>0</v>
      </c>
    </row>
    <row r="65" spans="1:106" x14ac:dyDescent="0.2">
      <c r="A65">
        <f>ROW(Source!A48)</f>
        <v>48</v>
      </c>
      <c r="B65">
        <v>35007309</v>
      </c>
      <c r="C65">
        <v>35007584</v>
      </c>
      <c r="D65">
        <v>31520646</v>
      </c>
      <c r="E65">
        <v>1</v>
      </c>
      <c r="F65">
        <v>1</v>
      </c>
      <c r="G65">
        <v>1</v>
      </c>
      <c r="H65">
        <v>2</v>
      </c>
      <c r="I65" t="s">
        <v>299</v>
      </c>
      <c r="J65" t="s">
        <v>300</v>
      </c>
      <c r="K65" t="s">
        <v>301</v>
      </c>
      <c r="L65">
        <v>1368</v>
      </c>
      <c r="N65">
        <v>1011</v>
      </c>
      <c r="O65" t="s">
        <v>298</v>
      </c>
      <c r="P65" t="s">
        <v>298</v>
      </c>
      <c r="Q65">
        <v>1</v>
      </c>
      <c r="W65">
        <v>0</v>
      </c>
      <c r="X65">
        <v>1372534845</v>
      </c>
      <c r="Y65">
        <v>0.26</v>
      </c>
      <c r="AA65">
        <v>0</v>
      </c>
      <c r="AB65">
        <v>65.709999999999994</v>
      </c>
      <c r="AC65">
        <v>11.6</v>
      </c>
      <c r="AD65">
        <v>0</v>
      </c>
      <c r="AE65">
        <v>0</v>
      </c>
      <c r="AF65">
        <v>65.709999999999994</v>
      </c>
      <c r="AG65">
        <v>11.6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0.26</v>
      </c>
      <c r="AU65" t="s">
        <v>3</v>
      </c>
      <c r="AV65">
        <v>0</v>
      </c>
      <c r="AW65">
        <v>2</v>
      </c>
      <c r="AX65">
        <v>35007979</v>
      </c>
      <c r="AY65">
        <v>1</v>
      </c>
      <c r="AZ65">
        <v>0</v>
      </c>
      <c r="BA65">
        <v>55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Y65*Source!I48</f>
        <v>2.8080000000000001E-2</v>
      </c>
      <c r="CY65">
        <f>AB65</f>
        <v>65.709999999999994</v>
      </c>
      <c r="CZ65">
        <f>AF65</f>
        <v>65.709999999999994</v>
      </c>
      <c r="DA65">
        <f>AJ65</f>
        <v>1</v>
      </c>
      <c r="DB65">
        <v>0</v>
      </c>
    </row>
    <row r="66" spans="1:106" x14ac:dyDescent="0.2">
      <c r="A66">
        <f>ROW(Source!A48)</f>
        <v>48</v>
      </c>
      <c r="B66">
        <v>35007309</v>
      </c>
      <c r="C66">
        <v>35007584</v>
      </c>
      <c r="D66">
        <v>31521546</v>
      </c>
      <c r="E66">
        <v>1</v>
      </c>
      <c r="F66">
        <v>1</v>
      </c>
      <c r="G66">
        <v>1</v>
      </c>
      <c r="H66">
        <v>2</v>
      </c>
      <c r="I66" t="s">
        <v>354</v>
      </c>
      <c r="J66" t="s">
        <v>355</v>
      </c>
      <c r="K66" t="s">
        <v>356</v>
      </c>
      <c r="L66">
        <v>1368</v>
      </c>
      <c r="N66">
        <v>1011</v>
      </c>
      <c r="O66" t="s">
        <v>298</v>
      </c>
      <c r="P66" t="s">
        <v>298</v>
      </c>
      <c r="Q66">
        <v>1</v>
      </c>
      <c r="W66">
        <v>0</v>
      </c>
      <c r="X66">
        <v>271748449</v>
      </c>
      <c r="Y66">
        <v>25.2</v>
      </c>
      <c r="AA66">
        <v>0</v>
      </c>
      <c r="AB66">
        <v>6.82</v>
      </c>
      <c r="AC66">
        <v>0</v>
      </c>
      <c r="AD66">
        <v>0</v>
      </c>
      <c r="AE66">
        <v>0</v>
      </c>
      <c r="AF66">
        <v>6.82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25.2</v>
      </c>
      <c r="AU66" t="s">
        <v>3</v>
      </c>
      <c r="AV66">
        <v>0</v>
      </c>
      <c r="AW66">
        <v>2</v>
      </c>
      <c r="AX66">
        <v>35007980</v>
      </c>
      <c r="AY66">
        <v>1</v>
      </c>
      <c r="AZ66">
        <v>0</v>
      </c>
      <c r="BA66">
        <v>56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Y66*Source!I48</f>
        <v>2.7216</v>
      </c>
      <c r="CY66">
        <f>AB66</f>
        <v>6.82</v>
      </c>
      <c r="CZ66">
        <f>AF66</f>
        <v>6.82</v>
      </c>
      <c r="DA66">
        <f>AJ66</f>
        <v>1</v>
      </c>
      <c r="DB66">
        <v>0</v>
      </c>
    </row>
    <row r="67" spans="1:106" x14ac:dyDescent="0.2">
      <c r="A67">
        <f>ROW(Source!A48)</f>
        <v>48</v>
      </c>
      <c r="B67">
        <v>35007309</v>
      </c>
      <c r="C67">
        <v>35007584</v>
      </c>
      <c r="D67">
        <v>31438650</v>
      </c>
      <c r="E67">
        <v>1</v>
      </c>
      <c r="F67">
        <v>1</v>
      </c>
      <c r="G67">
        <v>1</v>
      </c>
      <c r="H67">
        <v>3</v>
      </c>
      <c r="I67" t="s">
        <v>357</v>
      </c>
      <c r="J67" t="s">
        <v>358</v>
      </c>
      <c r="K67" t="s">
        <v>359</v>
      </c>
      <c r="L67">
        <v>1339</v>
      </c>
      <c r="N67">
        <v>1007</v>
      </c>
      <c r="O67" t="s">
        <v>31</v>
      </c>
      <c r="P67" t="s">
        <v>31</v>
      </c>
      <c r="Q67">
        <v>1</v>
      </c>
      <c r="W67">
        <v>0</v>
      </c>
      <c r="X67">
        <v>-1660354250</v>
      </c>
      <c r="Y67">
        <v>0.21</v>
      </c>
      <c r="AA67">
        <v>16.59</v>
      </c>
      <c r="AB67">
        <v>0</v>
      </c>
      <c r="AC67">
        <v>0</v>
      </c>
      <c r="AD67">
        <v>0</v>
      </c>
      <c r="AE67">
        <v>2.44</v>
      </c>
      <c r="AF67">
        <v>0</v>
      </c>
      <c r="AG67">
        <v>0</v>
      </c>
      <c r="AH67">
        <v>0</v>
      </c>
      <c r="AI67">
        <v>6.8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0.21</v>
      </c>
      <c r="AU67" t="s">
        <v>3</v>
      </c>
      <c r="AV67">
        <v>0</v>
      </c>
      <c r="AW67">
        <v>2</v>
      </c>
      <c r="AX67">
        <v>35007981</v>
      </c>
      <c r="AY67">
        <v>1</v>
      </c>
      <c r="AZ67">
        <v>0</v>
      </c>
      <c r="BA67">
        <v>57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Y67*Source!I48</f>
        <v>2.2679999999999999E-2</v>
      </c>
      <c r="CY67">
        <f>AA67</f>
        <v>16.59</v>
      </c>
      <c r="CZ67">
        <f>AE67</f>
        <v>2.44</v>
      </c>
      <c r="DA67">
        <f>AI67</f>
        <v>6.8</v>
      </c>
      <c r="DB67">
        <v>0</v>
      </c>
    </row>
    <row r="68" spans="1:106" x14ac:dyDescent="0.2">
      <c r="A68">
        <f>ROW(Source!A48)</f>
        <v>48</v>
      </c>
      <c r="B68">
        <v>35007309</v>
      </c>
      <c r="C68">
        <v>35007584</v>
      </c>
      <c r="D68">
        <v>31439130</v>
      </c>
      <c r="E68">
        <v>1</v>
      </c>
      <c r="F68">
        <v>1</v>
      </c>
      <c r="G68">
        <v>1</v>
      </c>
      <c r="H68">
        <v>3</v>
      </c>
      <c r="I68" t="s">
        <v>360</v>
      </c>
      <c r="J68" t="s">
        <v>361</v>
      </c>
      <c r="K68" t="s">
        <v>362</v>
      </c>
      <c r="L68">
        <v>1354</v>
      </c>
      <c r="N68">
        <v>1010</v>
      </c>
      <c r="O68" t="s">
        <v>52</v>
      </c>
      <c r="P68" t="s">
        <v>52</v>
      </c>
      <c r="Q68">
        <v>1</v>
      </c>
      <c r="W68">
        <v>0</v>
      </c>
      <c r="X68">
        <v>-1046673864</v>
      </c>
      <c r="Y68">
        <v>10</v>
      </c>
      <c r="AA68">
        <v>10.53</v>
      </c>
      <c r="AB68">
        <v>0</v>
      </c>
      <c r="AC68">
        <v>0</v>
      </c>
      <c r="AD68">
        <v>0</v>
      </c>
      <c r="AE68">
        <v>4.5</v>
      </c>
      <c r="AF68">
        <v>0</v>
      </c>
      <c r="AG68">
        <v>0</v>
      </c>
      <c r="AH68">
        <v>0</v>
      </c>
      <c r="AI68">
        <v>2.34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10</v>
      </c>
      <c r="AU68" t="s">
        <v>3</v>
      </c>
      <c r="AV68">
        <v>0</v>
      </c>
      <c r="AW68">
        <v>2</v>
      </c>
      <c r="AX68">
        <v>35007982</v>
      </c>
      <c r="AY68">
        <v>1</v>
      </c>
      <c r="AZ68">
        <v>0</v>
      </c>
      <c r="BA68">
        <v>58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Y68*Source!I48</f>
        <v>1.08</v>
      </c>
      <c r="CY68">
        <f>AA68</f>
        <v>10.53</v>
      </c>
      <c r="CZ68">
        <f>AE68</f>
        <v>4.5</v>
      </c>
      <c r="DA68">
        <f>AI68</f>
        <v>2.34</v>
      </c>
      <c r="DB68">
        <v>0</v>
      </c>
    </row>
    <row r="69" spans="1:106" x14ac:dyDescent="0.2">
      <c r="A69">
        <f>ROW(Source!A48)</f>
        <v>48</v>
      </c>
      <c r="B69">
        <v>35007309</v>
      </c>
      <c r="C69">
        <v>35007584</v>
      </c>
      <c r="D69">
        <v>31442382</v>
      </c>
      <c r="E69">
        <v>1</v>
      </c>
      <c r="F69">
        <v>1</v>
      </c>
      <c r="G69">
        <v>1</v>
      </c>
      <c r="H69">
        <v>3</v>
      </c>
      <c r="I69" t="s">
        <v>363</v>
      </c>
      <c r="J69" t="s">
        <v>364</v>
      </c>
      <c r="K69" t="s">
        <v>365</v>
      </c>
      <c r="L69">
        <v>1346</v>
      </c>
      <c r="N69">
        <v>1009</v>
      </c>
      <c r="O69" t="s">
        <v>121</v>
      </c>
      <c r="P69" t="s">
        <v>121</v>
      </c>
      <c r="Q69">
        <v>1</v>
      </c>
      <c r="W69">
        <v>0</v>
      </c>
      <c r="X69">
        <v>813963326</v>
      </c>
      <c r="Y69">
        <v>10</v>
      </c>
      <c r="AA69">
        <v>43.52</v>
      </c>
      <c r="AB69">
        <v>0</v>
      </c>
      <c r="AC69">
        <v>0</v>
      </c>
      <c r="AD69">
        <v>0</v>
      </c>
      <c r="AE69">
        <v>1.82</v>
      </c>
      <c r="AF69">
        <v>0</v>
      </c>
      <c r="AG69">
        <v>0</v>
      </c>
      <c r="AH69">
        <v>0</v>
      </c>
      <c r="AI69">
        <v>23.91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10</v>
      </c>
      <c r="AU69" t="s">
        <v>3</v>
      </c>
      <c r="AV69">
        <v>0</v>
      </c>
      <c r="AW69">
        <v>2</v>
      </c>
      <c r="AX69">
        <v>35007983</v>
      </c>
      <c r="AY69">
        <v>1</v>
      </c>
      <c r="AZ69">
        <v>0</v>
      </c>
      <c r="BA69">
        <v>59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Y69*Source!I48</f>
        <v>1.08</v>
      </c>
      <c r="CY69">
        <f>AA69</f>
        <v>43.52</v>
      </c>
      <c r="CZ69">
        <f>AE69</f>
        <v>1.82</v>
      </c>
      <c r="DA69">
        <f>AI69</f>
        <v>23.91</v>
      </c>
      <c r="DB69">
        <v>0</v>
      </c>
    </row>
    <row r="70" spans="1:106" x14ac:dyDescent="0.2">
      <c r="A70">
        <f>ROW(Source!A48)</f>
        <v>48</v>
      </c>
      <c r="B70">
        <v>35007309</v>
      </c>
      <c r="C70">
        <v>35007584</v>
      </c>
      <c r="D70">
        <v>31474157</v>
      </c>
      <c r="E70">
        <v>1</v>
      </c>
      <c r="F70">
        <v>1</v>
      </c>
      <c r="G70">
        <v>1</v>
      </c>
      <c r="H70">
        <v>3</v>
      </c>
      <c r="I70" t="s">
        <v>119</v>
      </c>
      <c r="J70" t="s">
        <v>122</v>
      </c>
      <c r="K70" t="s">
        <v>120</v>
      </c>
      <c r="L70">
        <v>1346</v>
      </c>
      <c r="N70">
        <v>1009</v>
      </c>
      <c r="O70" t="s">
        <v>121</v>
      </c>
      <c r="P70" t="s">
        <v>121</v>
      </c>
      <c r="Q70">
        <v>1</v>
      </c>
      <c r="W70">
        <v>0</v>
      </c>
      <c r="X70">
        <v>-499544449</v>
      </c>
      <c r="Y70">
        <v>200</v>
      </c>
      <c r="AA70">
        <v>349.61</v>
      </c>
      <c r="AB70">
        <v>0</v>
      </c>
      <c r="AC70">
        <v>0</v>
      </c>
      <c r="AD70">
        <v>0</v>
      </c>
      <c r="AE70">
        <v>94.49</v>
      </c>
      <c r="AF70">
        <v>0</v>
      </c>
      <c r="AG70">
        <v>0</v>
      </c>
      <c r="AH70">
        <v>0</v>
      </c>
      <c r="AI70">
        <v>3.7</v>
      </c>
      <c r="AJ70">
        <v>1</v>
      </c>
      <c r="AK70">
        <v>1</v>
      </c>
      <c r="AL70">
        <v>1</v>
      </c>
      <c r="AN70">
        <v>0</v>
      </c>
      <c r="AO70">
        <v>0</v>
      </c>
      <c r="AP70">
        <v>0</v>
      </c>
      <c r="AQ70">
        <v>0</v>
      </c>
      <c r="AR70">
        <v>0</v>
      </c>
      <c r="AS70" t="s">
        <v>3</v>
      </c>
      <c r="AT70">
        <v>200</v>
      </c>
      <c r="AU70" t="s">
        <v>3</v>
      </c>
      <c r="AV70">
        <v>0</v>
      </c>
      <c r="AW70">
        <v>1</v>
      </c>
      <c r="AX70">
        <v>-1</v>
      </c>
      <c r="AY70">
        <v>0</v>
      </c>
      <c r="AZ70">
        <v>0</v>
      </c>
      <c r="BA70" t="s">
        <v>3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Y70*Source!I48</f>
        <v>21.6</v>
      </c>
      <c r="CY70">
        <f>AA70</f>
        <v>349.61</v>
      </c>
      <c r="CZ70">
        <f>AE70</f>
        <v>94.49</v>
      </c>
      <c r="DA70">
        <f>AI70</f>
        <v>3.7</v>
      </c>
      <c r="DB70">
        <v>0</v>
      </c>
    </row>
    <row r="71" spans="1:106" x14ac:dyDescent="0.2">
      <c r="A71">
        <f>ROW(Source!A50)</f>
        <v>50</v>
      </c>
      <c r="B71">
        <v>35007309</v>
      </c>
      <c r="C71">
        <v>35007602</v>
      </c>
      <c r="D71">
        <v>31709886</v>
      </c>
      <c r="E71">
        <v>1</v>
      </c>
      <c r="F71">
        <v>1</v>
      </c>
      <c r="G71">
        <v>1</v>
      </c>
      <c r="H71">
        <v>1</v>
      </c>
      <c r="I71" t="s">
        <v>314</v>
      </c>
      <c r="J71" t="s">
        <v>3</v>
      </c>
      <c r="K71" t="s">
        <v>315</v>
      </c>
      <c r="L71">
        <v>1191</v>
      </c>
      <c r="N71">
        <v>1013</v>
      </c>
      <c r="O71" t="s">
        <v>290</v>
      </c>
      <c r="P71" t="s">
        <v>290</v>
      </c>
      <c r="Q71">
        <v>1</v>
      </c>
      <c r="W71">
        <v>0</v>
      </c>
      <c r="X71">
        <v>1069510174</v>
      </c>
      <c r="Y71">
        <v>30.4</v>
      </c>
      <c r="AA71">
        <v>0</v>
      </c>
      <c r="AB71">
        <v>0</v>
      </c>
      <c r="AC71">
        <v>0</v>
      </c>
      <c r="AD71">
        <v>9.6199999999999992</v>
      </c>
      <c r="AE71">
        <v>0</v>
      </c>
      <c r="AF71">
        <v>0</v>
      </c>
      <c r="AG71">
        <v>0</v>
      </c>
      <c r="AH71">
        <v>9.6199999999999992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30.4</v>
      </c>
      <c r="AU71" t="s">
        <v>3</v>
      </c>
      <c r="AV71">
        <v>1</v>
      </c>
      <c r="AW71">
        <v>2</v>
      </c>
      <c r="AX71">
        <v>35007986</v>
      </c>
      <c r="AY71">
        <v>1</v>
      </c>
      <c r="AZ71">
        <v>2048</v>
      </c>
      <c r="BA71">
        <v>61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Y71*Source!I50</f>
        <v>4.5599999999999996</v>
      </c>
      <c r="CY71">
        <f>AD71</f>
        <v>9.6199999999999992</v>
      </c>
      <c r="CZ71">
        <f>AH71</f>
        <v>9.6199999999999992</v>
      </c>
      <c r="DA71">
        <f>AL71</f>
        <v>1</v>
      </c>
      <c r="DB71">
        <v>0</v>
      </c>
    </row>
    <row r="72" spans="1:106" x14ac:dyDescent="0.2">
      <c r="A72">
        <f>ROW(Source!A50)</f>
        <v>50</v>
      </c>
      <c r="B72">
        <v>35007309</v>
      </c>
      <c r="C72">
        <v>35007602</v>
      </c>
      <c r="D72">
        <v>31435925</v>
      </c>
      <c r="E72">
        <v>17</v>
      </c>
      <c r="F72">
        <v>1</v>
      </c>
      <c r="G72">
        <v>1</v>
      </c>
      <c r="H72">
        <v>3</v>
      </c>
      <c r="I72" t="s">
        <v>311</v>
      </c>
      <c r="J72" t="s">
        <v>3</v>
      </c>
      <c r="K72" t="s">
        <v>312</v>
      </c>
      <c r="L72">
        <v>1374</v>
      </c>
      <c r="N72">
        <v>1013</v>
      </c>
      <c r="O72" t="s">
        <v>313</v>
      </c>
      <c r="P72" t="s">
        <v>313</v>
      </c>
      <c r="Q72">
        <v>1</v>
      </c>
      <c r="W72">
        <v>0</v>
      </c>
      <c r="X72">
        <v>-1731369543</v>
      </c>
      <c r="Y72">
        <v>5.85</v>
      </c>
      <c r="AA72">
        <v>1</v>
      </c>
      <c r="AB72">
        <v>0</v>
      </c>
      <c r="AC72">
        <v>0</v>
      </c>
      <c r="AD72">
        <v>0</v>
      </c>
      <c r="AE72">
        <v>1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5.85</v>
      </c>
      <c r="AU72" t="s">
        <v>3</v>
      </c>
      <c r="AV72">
        <v>0</v>
      </c>
      <c r="AW72">
        <v>2</v>
      </c>
      <c r="AX72">
        <v>35007987</v>
      </c>
      <c r="AY72">
        <v>1</v>
      </c>
      <c r="AZ72">
        <v>2048</v>
      </c>
      <c r="BA72">
        <v>62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Y72*Source!I50</f>
        <v>0.87749999999999995</v>
      </c>
      <c r="CY72">
        <f>AA72</f>
        <v>1</v>
      </c>
      <c r="CZ72">
        <f>AE72</f>
        <v>1</v>
      </c>
      <c r="DA72">
        <f>AI72</f>
        <v>1</v>
      </c>
      <c r="DB72">
        <v>0</v>
      </c>
    </row>
    <row r="73" spans="1:106" x14ac:dyDescent="0.2">
      <c r="A73">
        <f>ROW(Source!A85)</f>
        <v>85</v>
      </c>
      <c r="B73">
        <v>35007309</v>
      </c>
      <c r="C73">
        <v>35007661</v>
      </c>
      <c r="D73">
        <v>31709886</v>
      </c>
      <c r="E73">
        <v>1</v>
      </c>
      <c r="F73">
        <v>1</v>
      </c>
      <c r="G73">
        <v>1</v>
      </c>
      <c r="H73">
        <v>1</v>
      </c>
      <c r="I73" t="s">
        <v>314</v>
      </c>
      <c r="J73" t="s">
        <v>3</v>
      </c>
      <c r="K73" t="s">
        <v>315</v>
      </c>
      <c r="L73">
        <v>1191</v>
      </c>
      <c r="N73">
        <v>1013</v>
      </c>
      <c r="O73" t="s">
        <v>290</v>
      </c>
      <c r="P73" t="s">
        <v>290</v>
      </c>
      <c r="Q73">
        <v>1</v>
      </c>
      <c r="W73">
        <v>0</v>
      </c>
      <c r="X73">
        <v>1069510174</v>
      </c>
      <c r="Y73">
        <v>22.72</v>
      </c>
      <c r="AA73">
        <v>0</v>
      </c>
      <c r="AB73">
        <v>0</v>
      </c>
      <c r="AC73">
        <v>0</v>
      </c>
      <c r="AD73">
        <v>9.6199999999999992</v>
      </c>
      <c r="AE73">
        <v>0</v>
      </c>
      <c r="AF73">
        <v>0</v>
      </c>
      <c r="AG73">
        <v>0</v>
      </c>
      <c r="AH73">
        <v>9.6199999999999992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22.72</v>
      </c>
      <c r="AU73" t="s">
        <v>3</v>
      </c>
      <c r="AV73">
        <v>1</v>
      </c>
      <c r="AW73">
        <v>2</v>
      </c>
      <c r="AX73">
        <v>35007988</v>
      </c>
      <c r="AY73">
        <v>1</v>
      </c>
      <c r="AZ73">
        <v>0</v>
      </c>
      <c r="BA73">
        <v>63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Y73*Source!I85</f>
        <v>1.8175999999999999</v>
      </c>
      <c r="CY73">
        <f>AD73</f>
        <v>9.6199999999999992</v>
      </c>
      <c r="CZ73">
        <f>AH73</f>
        <v>9.6199999999999992</v>
      </c>
      <c r="DA73">
        <f>AL73</f>
        <v>1</v>
      </c>
      <c r="DB73">
        <v>0</v>
      </c>
    </row>
    <row r="74" spans="1:106" x14ac:dyDescent="0.2">
      <c r="A74">
        <f>ROW(Source!A85)</f>
        <v>85</v>
      </c>
      <c r="B74">
        <v>35007309</v>
      </c>
      <c r="C74">
        <v>35007661</v>
      </c>
      <c r="D74">
        <v>31490811</v>
      </c>
      <c r="E74">
        <v>1</v>
      </c>
      <c r="F74">
        <v>1</v>
      </c>
      <c r="G74">
        <v>1</v>
      </c>
      <c r="H74">
        <v>3</v>
      </c>
      <c r="I74" t="s">
        <v>186</v>
      </c>
      <c r="J74" t="s">
        <v>188</v>
      </c>
      <c r="K74" t="s">
        <v>187</v>
      </c>
      <c r="L74">
        <v>1355</v>
      </c>
      <c r="N74">
        <v>1010</v>
      </c>
      <c r="O74" t="s">
        <v>78</v>
      </c>
      <c r="P74" t="s">
        <v>78</v>
      </c>
      <c r="Q74">
        <v>100</v>
      </c>
      <c r="W74">
        <v>0</v>
      </c>
      <c r="X74">
        <v>-1803388369</v>
      </c>
      <c r="Y74">
        <v>1</v>
      </c>
      <c r="AA74">
        <v>5825.9</v>
      </c>
      <c r="AB74">
        <v>0</v>
      </c>
      <c r="AC74">
        <v>0</v>
      </c>
      <c r="AD74">
        <v>0</v>
      </c>
      <c r="AE74">
        <v>1490</v>
      </c>
      <c r="AF74">
        <v>0</v>
      </c>
      <c r="AG74">
        <v>0</v>
      </c>
      <c r="AH74">
        <v>0</v>
      </c>
      <c r="AI74">
        <v>3.91</v>
      </c>
      <c r="AJ74">
        <v>1</v>
      </c>
      <c r="AK74">
        <v>1</v>
      </c>
      <c r="AL74">
        <v>1</v>
      </c>
      <c r="AN74">
        <v>0</v>
      </c>
      <c r="AO74">
        <v>0</v>
      </c>
      <c r="AP74">
        <v>0</v>
      </c>
      <c r="AQ74">
        <v>0</v>
      </c>
      <c r="AR74">
        <v>0</v>
      </c>
      <c r="AS74" t="s">
        <v>3</v>
      </c>
      <c r="AT74">
        <v>1</v>
      </c>
      <c r="AU74" t="s">
        <v>3</v>
      </c>
      <c r="AV74">
        <v>0</v>
      </c>
      <c r="AW74">
        <v>1</v>
      </c>
      <c r="AX74">
        <v>-1</v>
      </c>
      <c r="AY74">
        <v>0</v>
      </c>
      <c r="AZ74">
        <v>0</v>
      </c>
      <c r="BA74" t="s">
        <v>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Y74*Source!I85</f>
        <v>0.08</v>
      </c>
      <c r="CY74">
        <f>AA74</f>
        <v>5825.9</v>
      </c>
      <c r="CZ74">
        <f>AE74</f>
        <v>1490</v>
      </c>
      <c r="DA74">
        <f>AI74</f>
        <v>3.91</v>
      </c>
      <c r="DB74">
        <v>0</v>
      </c>
    </row>
    <row r="75" spans="1:106" x14ac:dyDescent="0.2">
      <c r="A75">
        <f>ROW(Source!A85)</f>
        <v>85</v>
      </c>
      <c r="B75">
        <v>35007309</v>
      </c>
      <c r="C75">
        <v>35007661</v>
      </c>
      <c r="D75">
        <v>31435925</v>
      </c>
      <c r="E75">
        <v>17</v>
      </c>
      <c r="F75">
        <v>1</v>
      </c>
      <c r="G75">
        <v>1</v>
      </c>
      <c r="H75">
        <v>3</v>
      </c>
      <c r="I75" t="s">
        <v>311</v>
      </c>
      <c r="J75" t="s">
        <v>3</v>
      </c>
      <c r="K75" t="s">
        <v>312</v>
      </c>
      <c r="L75">
        <v>1374</v>
      </c>
      <c r="N75">
        <v>1013</v>
      </c>
      <c r="O75" t="s">
        <v>313</v>
      </c>
      <c r="P75" t="s">
        <v>313</v>
      </c>
      <c r="Q75">
        <v>1</v>
      </c>
      <c r="W75">
        <v>0</v>
      </c>
      <c r="X75">
        <v>-1731369543</v>
      </c>
      <c r="Y75">
        <v>4.37</v>
      </c>
      <c r="AA75">
        <v>1</v>
      </c>
      <c r="AB75">
        <v>0</v>
      </c>
      <c r="AC75">
        <v>0</v>
      </c>
      <c r="AD75">
        <v>0</v>
      </c>
      <c r="AE75">
        <v>1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4.37</v>
      </c>
      <c r="AU75" t="s">
        <v>3</v>
      </c>
      <c r="AV75">
        <v>0</v>
      </c>
      <c r="AW75">
        <v>2</v>
      </c>
      <c r="AX75">
        <v>35007989</v>
      </c>
      <c r="AY75">
        <v>1</v>
      </c>
      <c r="AZ75">
        <v>0</v>
      </c>
      <c r="BA75">
        <v>64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Y75*Source!I85</f>
        <v>0.34960000000000002</v>
      </c>
      <c r="CY75">
        <f>AA75</f>
        <v>1</v>
      </c>
      <c r="CZ75">
        <f>AE75</f>
        <v>1</v>
      </c>
      <c r="DA75">
        <f>AI75</f>
        <v>1</v>
      </c>
      <c r="DB75">
        <v>0</v>
      </c>
    </row>
    <row r="76" spans="1:106" x14ac:dyDescent="0.2">
      <c r="A76">
        <f>ROW(Source!A87)</f>
        <v>87</v>
      </c>
      <c r="B76">
        <v>35007309</v>
      </c>
      <c r="C76">
        <v>35007666</v>
      </c>
      <c r="D76">
        <v>31703778</v>
      </c>
      <c r="E76">
        <v>1</v>
      </c>
      <c r="F76">
        <v>1</v>
      </c>
      <c r="G76">
        <v>1</v>
      </c>
      <c r="H76">
        <v>1</v>
      </c>
      <c r="I76" t="s">
        <v>334</v>
      </c>
      <c r="J76" t="s">
        <v>3</v>
      </c>
      <c r="K76" t="s">
        <v>335</v>
      </c>
      <c r="L76">
        <v>1191</v>
      </c>
      <c r="N76">
        <v>1013</v>
      </c>
      <c r="O76" t="s">
        <v>290</v>
      </c>
      <c r="P76" t="s">
        <v>290</v>
      </c>
      <c r="Q76">
        <v>1</v>
      </c>
      <c r="W76">
        <v>0</v>
      </c>
      <c r="X76">
        <v>145020957</v>
      </c>
      <c r="Y76">
        <v>0.59</v>
      </c>
      <c r="AA76">
        <v>0</v>
      </c>
      <c r="AB76">
        <v>0</v>
      </c>
      <c r="AC76">
        <v>0</v>
      </c>
      <c r="AD76">
        <v>9.07</v>
      </c>
      <c r="AE76">
        <v>0</v>
      </c>
      <c r="AF76">
        <v>0</v>
      </c>
      <c r="AG76">
        <v>0</v>
      </c>
      <c r="AH76">
        <v>9.07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0.59</v>
      </c>
      <c r="AU76" t="s">
        <v>3</v>
      </c>
      <c r="AV76">
        <v>1</v>
      </c>
      <c r="AW76">
        <v>2</v>
      </c>
      <c r="AX76">
        <v>35007990</v>
      </c>
      <c r="AY76">
        <v>1</v>
      </c>
      <c r="AZ76">
        <v>0</v>
      </c>
      <c r="BA76">
        <v>65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Y76*Source!I87</f>
        <v>4.72</v>
      </c>
      <c r="CY76">
        <f>AD76</f>
        <v>9.07</v>
      </c>
      <c r="CZ76">
        <f>AH76</f>
        <v>9.07</v>
      </c>
      <c r="DA76">
        <f>AL76</f>
        <v>1</v>
      </c>
      <c r="DB76">
        <v>0</v>
      </c>
    </row>
    <row r="77" spans="1:106" x14ac:dyDescent="0.2">
      <c r="A77">
        <f>ROW(Source!A87)</f>
        <v>87</v>
      </c>
      <c r="B77">
        <v>35007309</v>
      </c>
      <c r="C77">
        <v>35007666</v>
      </c>
      <c r="D77">
        <v>31436897</v>
      </c>
      <c r="E77">
        <v>1</v>
      </c>
      <c r="F77">
        <v>1</v>
      </c>
      <c r="G77">
        <v>1</v>
      </c>
      <c r="H77">
        <v>3</v>
      </c>
      <c r="I77" t="s">
        <v>336</v>
      </c>
      <c r="J77" t="s">
        <v>337</v>
      </c>
      <c r="K77" t="s">
        <v>338</v>
      </c>
      <c r="L77">
        <v>1346</v>
      </c>
      <c r="N77">
        <v>1009</v>
      </c>
      <c r="O77" t="s">
        <v>121</v>
      </c>
      <c r="P77" t="s">
        <v>121</v>
      </c>
      <c r="Q77">
        <v>1</v>
      </c>
      <c r="W77">
        <v>0</v>
      </c>
      <c r="X77">
        <v>-1003059649</v>
      </c>
      <c r="Y77">
        <v>0.04</v>
      </c>
      <c r="AA77">
        <v>59.04</v>
      </c>
      <c r="AB77">
        <v>0</v>
      </c>
      <c r="AC77">
        <v>0</v>
      </c>
      <c r="AD77">
        <v>0</v>
      </c>
      <c r="AE77">
        <v>6.15</v>
      </c>
      <c r="AF77">
        <v>0</v>
      </c>
      <c r="AG77">
        <v>0</v>
      </c>
      <c r="AH77">
        <v>0</v>
      </c>
      <c r="AI77">
        <v>9.6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3</v>
      </c>
      <c r="AT77">
        <v>0.04</v>
      </c>
      <c r="AU77" t="s">
        <v>3</v>
      </c>
      <c r="AV77">
        <v>0</v>
      </c>
      <c r="AW77">
        <v>2</v>
      </c>
      <c r="AX77">
        <v>35007991</v>
      </c>
      <c r="AY77">
        <v>1</v>
      </c>
      <c r="AZ77">
        <v>0</v>
      </c>
      <c r="BA77">
        <v>66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Y77*Source!I87</f>
        <v>0.32</v>
      </c>
      <c r="CY77">
        <f>AA77</f>
        <v>59.04</v>
      </c>
      <c r="CZ77">
        <f>AE77</f>
        <v>6.15</v>
      </c>
      <c r="DA77">
        <f>AI77</f>
        <v>9.6</v>
      </c>
      <c r="DB77">
        <v>0</v>
      </c>
    </row>
    <row r="78" spans="1:106" x14ac:dyDescent="0.2">
      <c r="A78">
        <f>ROW(Source!A87)</f>
        <v>87</v>
      </c>
      <c r="B78">
        <v>35007309</v>
      </c>
      <c r="C78">
        <v>35007666</v>
      </c>
      <c r="D78">
        <v>31439017</v>
      </c>
      <c r="E78">
        <v>1</v>
      </c>
      <c r="F78">
        <v>1</v>
      </c>
      <c r="G78">
        <v>1</v>
      </c>
      <c r="H78">
        <v>3</v>
      </c>
      <c r="I78" t="s">
        <v>339</v>
      </c>
      <c r="J78" t="s">
        <v>340</v>
      </c>
      <c r="K78" t="s">
        <v>341</v>
      </c>
      <c r="L78">
        <v>1308</v>
      </c>
      <c r="N78">
        <v>1003</v>
      </c>
      <c r="O78" t="s">
        <v>57</v>
      </c>
      <c r="P78" t="s">
        <v>57</v>
      </c>
      <c r="Q78">
        <v>100</v>
      </c>
      <c r="W78">
        <v>0</v>
      </c>
      <c r="X78">
        <v>1287168028</v>
      </c>
      <c r="Y78">
        <v>3.0000000000000001E-3</v>
      </c>
      <c r="AA78">
        <v>871.08</v>
      </c>
      <c r="AB78">
        <v>0</v>
      </c>
      <c r="AC78">
        <v>0</v>
      </c>
      <c r="AD78">
        <v>0</v>
      </c>
      <c r="AE78">
        <v>143.97999999999999</v>
      </c>
      <c r="AF78">
        <v>0</v>
      </c>
      <c r="AG78">
        <v>0</v>
      </c>
      <c r="AH78">
        <v>0</v>
      </c>
      <c r="AI78">
        <v>6.05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3</v>
      </c>
      <c r="AT78">
        <v>3.0000000000000001E-3</v>
      </c>
      <c r="AU78" t="s">
        <v>3</v>
      </c>
      <c r="AV78">
        <v>0</v>
      </c>
      <c r="AW78">
        <v>2</v>
      </c>
      <c r="AX78">
        <v>35007992</v>
      </c>
      <c r="AY78">
        <v>1</v>
      </c>
      <c r="AZ78">
        <v>0</v>
      </c>
      <c r="BA78">
        <v>67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Y78*Source!I87</f>
        <v>2.4E-2</v>
      </c>
      <c r="CY78">
        <f>AA78</f>
        <v>871.08</v>
      </c>
      <c r="CZ78">
        <f>AE78</f>
        <v>143.97999999999999</v>
      </c>
      <c r="DA78">
        <f>AI78</f>
        <v>6.05</v>
      </c>
      <c r="DB78">
        <v>0</v>
      </c>
    </row>
    <row r="79" spans="1:106" x14ac:dyDescent="0.2">
      <c r="A79">
        <f>ROW(Source!A87)</f>
        <v>87</v>
      </c>
      <c r="B79">
        <v>35007309</v>
      </c>
      <c r="C79">
        <v>35007666</v>
      </c>
      <c r="D79">
        <v>31439019</v>
      </c>
      <c r="E79">
        <v>1</v>
      </c>
      <c r="F79">
        <v>1</v>
      </c>
      <c r="G79">
        <v>1</v>
      </c>
      <c r="H79">
        <v>3</v>
      </c>
      <c r="I79" t="s">
        <v>342</v>
      </c>
      <c r="J79" t="s">
        <v>343</v>
      </c>
      <c r="K79" t="s">
        <v>344</v>
      </c>
      <c r="L79">
        <v>1308</v>
      </c>
      <c r="N79">
        <v>1003</v>
      </c>
      <c r="O79" t="s">
        <v>57</v>
      </c>
      <c r="P79" t="s">
        <v>57</v>
      </c>
      <c r="Q79">
        <v>100</v>
      </c>
      <c r="W79">
        <v>0</v>
      </c>
      <c r="X79">
        <v>-634543811</v>
      </c>
      <c r="Y79">
        <v>4.0000000000000001E-3</v>
      </c>
      <c r="AA79">
        <v>226.91</v>
      </c>
      <c r="AB79">
        <v>0</v>
      </c>
      <c r="AC79">
        <v>0</v>
      </c>
      <c r="AD79">
        <v>0</v>
      </c>
      <c r="AE79">
        <v>38.590000000000003</v>
      </c>
      <c r="AF79">
        <v>0</v>
      </c>
      <c r="AG79">
        <v>0</v>
      </c>
      <c r="AH79">
        <v>0</v>
      </c>
      <c r="AI79">
        <v>5.88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4.0000000000000001E-3</v>
      </c>
      <c r="AU79" t="s">
        <v>3</v>
      </c>
      <c r="AV79">
        <v>0</v>
      </c>
      <c r="AW79">
        <v>2</v>
      </c>
      <c r="AX79">
        <v>35007993</v>
      </c>
      <c r="AY79">
        <v>1</v>
      </c>
      <c r="AZ79">
        <v>0</v>
      </c>
      <c r="BA79">
        <v>68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Y79*Source!I87</f>
        <v>3.2000000000000001E-2</v>
      </c>
      <c r="CY79">
        <f>AA79</f>
        <v>226.91</v>
      </c>
      <c r="CZ79">
        <f>AE79</f>
        <v>38.590000000000003</v>
      </c>
      <c r="DA79">
        <f>AI79</f>
        <v>5.88</v>
      </c>
      <c r="DB79">
        <v>0</v>
      </c>
    </row>
    <row r="80" spans="1:106" x14ac:dyDescent="0.2">
      <c r="A80">
        <f>ROW(Source!A87)</f>
        <v>87</v>
      </c>
      <c r="B80">
        <v>35007309</v>
      </c>
      <c r="C80">
        <v>35007666</v>
      </c>
      <c r="D80">
        <v>31506103</v>
      </c>
      <c r="E80">
        <v>1</v>
      </c>
      <c r="F80">
        <v>1</v>
      </c>
      <c r="G80">
        <v>1</v>
      </c>
      <c r="H80">
        <v>3</v>
      </c>
      <c r="I80" t="s">
        <v>86</v>
      </c>
      <c r="J80" t="s">
        <v>88</v>
      </c>
      <c r="K80" t="s">
        <v>87</v>
      </c>
      <c r="L80">
        <v>1354</v>
      </c>
      <c r="N80">
        <v>1010</v>
      </c>
      <c r="O80" t="s">
        <v>52</v>
      </c>
      <c r="P80" t="s">
        <v>52</v>
      </c>
      <c r="Q80">
        <v>1</v>
      </c>
      <c r="W80">
        <v>0</v>
      </c>
      <c r="X80">
        <v>780116230</v>
      </c>
      <c r="Y80">
        <v>1</v>
      </c>
      <c r="AA80">
        <v>103.74</v>
      </c>
      <c r="AB80">
        <v>0</v>
      </c>
      <c r="AC80">
        <v>0</v>
      </c>
      <c r="AD80">
        <v>0</v>
      </c>
      <c r="AE80">
        <v>38</v>
      </c>
      <c r="AF80">
        <v>0</v>
      </c>
      <c r="AG80">
        <v>0</v>
      </c>
      <c r="AH80">
        <v>0</v>
      </c>
      <c r="AI80">
        <v>2.73</v>
      </c>
      <c r="AJ80">
        <v>1</v>
      </c>
      <c r="AK80">
        <v>1</v>
      </c>
      <c r="AL80">
        <v>1</v>
      </c>
      <c r="AN80">
        <v>0</v>
      </c>
      <c r="AO80">
        <v>0</v>
      </c>
      <c r="AP80">
        <v>0</v>
      </c>
      <c r="AQ80">
        <v>0</v>
      </c>
      <c r="AR80">
        <v>0</v>
      </c>
      <c r="AS80" t="s">
        <v>3</v>
      </c>
      <c r="AT80">
        <v>1</v>
      </c>
      <c r="AU80" t="s">
        <v>3</v>
      </c>
      <c r="AV80">
        <v>0</v>
      </c>
      <c r="AW80">
        <v>1</v>
      </c>
      <c r="AX80">
        <v>-1</v>
      </c>
      <c r="AY80">
        <v>0</v>
      </c>
      <c r="AZ80">
        <v>0</v>
      </c>
      <c r="BA80" t="s">
        <v>3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Y80*Source!I87</f>
        <v>8</v>
      </c>
      <c r="CY80">
        <f>AA80</f>
        <v>103.74</v>
      </c>
      <c r="CZ80">
        <f>AE80</f>
        <v>38</v>
      </c>
      <c r="DA80">
        <f>AI80</f>
        <v>2.73</v>
      </c>
      <c r="DB80">
        <v>0</v>
      </c>
    </row>
    <row r="81" spans="1:106" x14ac:dyDescent="0.2">
      <c r="A81">
        <f>ROW(Source!A87)</f>
        <v>87</v>
      </c>
      <c r="B81">
        <v>35007309</v>
      </c>
      <c r="C81">
        <v>35007666</v>
      </c>
      <c r="D81">
        <v>31435925</v>
      </c>
      <c r="E81">
        <v>17</v>
      </c>
      <c r="F81">
        <v>1</v>
      </c>
      <c r="G81">
        <v>1</v>
      </c>
      <c r="H81">
        <v>3</v>
      </c>
      <c r="I81" t="s">
        <v>311</v>
      </c>
      <c r="J81" t="s">
        <v>3</v>
      </c>
      <c r="K81" t="s">
        <v>312</v>
      </c>
      <c r="L81">
        <v>1374</v>
      </c>
      <c r="N81">
        <v>1013</v>
      </c>
      <c r="O81" t="s">
        <v>313</v>
      </c>
      <c r="P81" t="s">
        <v>313</v>
      </c>
      <c r="Q81">
        <v>1</v>
      </c>
      <c r="W81">
        <v>0</v>
      </c>
      <c r="X81">
        <v>-1731369543</v>
      </c>
      <c r="Y81">
        <v>0.11</v>
      </c>
      <c r="AA81">
        <v>1</v>
      </c>
      <c r="AB81">
        <v>0</v>
      </c>
      <c r="AC81">
        <v>0</v>
      </c>
      <c r="AD81">
        <v>0</v>
      </c>
      <c r="AE81">
        <v>1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0.11</v>
      </c>
      <c r="AU81" t="s">
        <v>3</v>
      </c>
      <c r="AV81">
        <v>0</v>
      </c>
      <c r="AW81">
        <v>2</v>
      </c>
      <c r="AX81">
        <v>35007994</v>
      </c>
      <c r="AY81">
        <v>1</v>
      </c>
      <c r="AZ81">
        <v>0</v>
      </c>
      <c r="BA81">
        <v>69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Y81*Source!I87</f>
        <v>0.88</v>
      </c>
      <c r="CY81">
        <f>AA81</f>
        <v>1</v>
      </c>
      <c r="CZ81">
        <f>AE81</f>
        <v>1</v>
      </c>
      <c r="DA81">
        <f>AI81</f>
        <v>1</v>
      </c>
      <c r="DB81">
        <v>0</v>
      </c>
    </row>
    <row r="82" spans="1:106" x14ac:dyDescent="0.2">
      <c r="A82">
        <f>ROW(Source!A89)</f>
        <v>89</v>
      </c>
      <c r="B82">
        <v>35007309</v>
      </c>
      <c r="C82">
        <v>35007682</v>
      </c>
      <c r="D82">
        <v>31709886</v>
      </c>
      <c r="E82">
        <v>1</v>
      </c>
      <c r="F82">
        <v>1</v>
      </c>
      <c r="G82">
        <v>1</v>
      </c>
      <c r="H82">
        <v>1</v>
      </c>
      <c r="I82" t="s">
        <v>314</v>
      </c>
      <c r="J82" t="s">
        <v>3</v>
      </c>
      <c r="K82" t="s">
        <v>315</v>
      </c>
      <c r="L82">
        <v>1191</v>
      </c>
      <c r="N82">
        <v>1013</v>
      </c>
      <c r="O82" t="s">
        <v>290</v>
      </c>
      <c r="P82" t="s">
        <v>290</v>
      </c>
      <c r="Q82">
        <v>1</v>
      </c>
      <c r="W82">
        <v>0</v>
      </c>
      <c r="X82">
        <v>1069510174</v>
      </c>
      <c r="Y82">
        <v>12.41</v>
      </c>
      <c r="AA82">
        <v>0</v>
      </c>
      <c r="AB82">
        <v>0</v>
      </c>
      <c r="AC82">
        <v>0</v>
      </c>
      <c r="AD82">
        <v>9.6199999999999992</v>
      </c>
      <c r="AE82">
        <v>0</v>
      </c>
      <c r="AF82">
        <v>0</v>
      </c>
      <c r="AG82">
        <v>0</v>
      </c>
      <c r="AH82">
        <v>9.6199999999999992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12.41</v>
      </c>
      <c r="AU82" t="s">
        <v>3</v>
      </c>
      <c r="AV82">
        <v>1</v>
      </c>
      <c r="AW82">
        <v>2</v>
      </c>
      <c r="AX82">
        <v>35007995</v>
      </c>
      <c r="AY82">
        <v>1</v>
      </c>
      <c r="AZ82">
        <v>0</v>
      </c>
      <c r="BA82">
        <v>70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Y82*Source!I89</f>
        <v>1.4891999999999999</v>
      </c>
      <c r="CY82">
        <f>AD82</f>
        <v>9.6199999999999992</v>
      </c>
      <c r="CZ82">
        <f>AH82</f>
        <v>9.6199999999999992</v>
      </c>
      <c r="DA82">
        <f>AL82</f>
        <v>1</v>
      </c>
      <c r="DB82">
        <v>0</v>
      </c>
    </row>
    <row r="83" spans="1:106" x14ac:dyDescent="0.2">
      <c r="A83">
        <f>ROW(Source!A89)</f>
        <v>89</v>
      </c>
      <c r="B83">
        <v>35007309</v>
      </c>
      <c r="C83">
        <v>35007682</v>
      </c>
      <c r="D83">
        <v>31703727</v>
      </c>
      <c r="E83">
        <v>1</v>
      </c>
      <c r="F83">
        <v>1</v>
      </c>
      <c r="G83">
        <v>1</v>
      </c>
      <c r="H83">
        <v>1</v>
      </c>
      <c r="I83" t="s">
        <v>293</v>
      </c>
      <c r="J83" t="s">
        <v>3</v>
      </c>
      <c r="K83" t="s">
        <v>294</v>
      </c>
      <c r="L83">
        <v>1191</v>
      </c>
      <c r="N83">
        <v>1013</v>
      </c>
      <c r="O83" t="s">
        <v>290</v>
      </c>
      <c r="P83" t="s">
        <v>290</v>
      </c>
      <c r="Q83">
        <v>1</v>
      </c>
      <c r="W83">
        <v>0</v>
      </c>
      <c r="X83">
        <v>-1417349443</v>
      </c>
      <c r="Y83">
        <v>0.4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0.4</v>
      </c>
      <c r="AU83" t="s">
        <v>3</v>
      </c>
      <c r="AV83">
        <v>2</v>
      </c>
      <c r="AW83">
        <v>2</v>
      </c>
      <c r="AX83">
        <v>35007996</v>
      </c>
      <c r="AY83">
        <v>1</v>
      </c>
      <c r="AZ83">
        <v>0</v>
      </c>
      <c r="BA83">
        <v>71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Y83*Source!I89</f>
        <v>4.8000000000000001E-2</v>
      </c>
      <c r="CY83">
        <f>AD83</f>
        <v>0</v>
      </c>
      <c r="CZ83">
        <f>AH83</f>
        <v>0</v>
      </c>
      <c r="DA83">
        <f>AL83</f>
        <v>1</v>
      </c>
      <c r="DB83">
        <v>0</v>
      </c>
    </row>
    <row r="84" spans="1:106" x14ac:dyDescent="0.2">
      <c r="A84">
        <f>ROW(Source!A89)</f>
        <v>89</v>
      </c>
      <c r="B84">
        <v>35007309</v>
      </c>
      <c r="C84">
        <v>35007682</v>
      </c>
      <c r="D84">
        <v>31519244</v>
      </c>
      <c r="E84">
        <v>1</v>
      </c>
      <c r="F84">
        <v>1</v>
      </c>
      <c r="G84">
        <v>1</v>
      </c>
      <c r="H84">
        <v>2</v>
      </c>
      <c r="I84" t="s">
        <v>295</v>
      </c>
      <c r="J84" t="s">
        <v>296</v>
      </c>
      <c r="K84" t="s">
        <v>297</v>
      </c>
      <c r="L84">
        <v>1368</v>
      </c>
      <c r="N84">
        <v>1011</v>
      </c>
      <c r="O84" t="s">
        <v>298</v>
      </c>
      <c r="P84" t="s">
        <v>298</v>
      </c>
      <c r="Q84">
        <v>1</v>
      </c>
      <c r="W84">
        <v>0</v>
      </c>
      <c r="X84">
        <v>-1718674368</v>
      </c>
      <c r="Y84">
        <v>0.2</v>
      </c>
      <c r="AA84">
        <v>0</v>
      </c>
      <c r="AB84">
        <v>111.99</v>
      </c>
      <c r="AC84">
        <v>13.5</v>
      </c>
      <c r="AD84">
        <v>0</v>
      </c>
      <c r="AE84">
        <v>0</v>
      </c>
      <c r="AF84">
        <v>111.99</v>
      </c>
      <c r="AG84">
        <v>13.5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0.2</v>
      </c>
      <c r="AU84" t="s">
        <v>3</v>
      </c>
      <c r="AV84">
        <v>0</v>
      </c>
      <c r="AW84">
        <v>2</v>
      </c>
      <c r="AX84">
        <v>35007997</v>
      </c>
      <c r="AY84">
        <v>1</v>
      </c>
      <c r="AZ84">
        <v>0</v>
      </c>
      <c r="BA84">
        <v>72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Y84*Source!I89</f>
        <v>2.4E-2</v>
      </c>
      <c r="CY84">
        <f>AB84</f>
        <v>111.99</v>
      </c>
      <c r="CZ84">
        <f>AF84</f>
        <v>111.99</v>
      </c>
      <c r="DA84">
        <f>AJ84</f>
        <v>1</v>
      </c>
      <c r="DB84">
        <v>0</v>
      </c>
    </row>
    <row r="85" spans="1:106" x14ac:dyDescent="0.2">
      <c r="A85">
        <f>ROW(Source!A89)</f>
        <v>89</v>
      </c>
      <c r="B85">
        <v>35007309</v>
      </c>
      <c r="C85">
        <v>35007682</v>
      </c>
      <c r="D85">
        <v>31519376</v>
      </c>
      <c r="E85">
        <v>1</v>
      </c>
      <c r="F85">
        <v>1</v>
      </c>
      <c r="G85">
        <v>1</v>
      </c>
      <c r="H85">
        <v>2</v>
      </c>
      <c r="I85" t="s">
        <v>316</v>
      </c>
      <c r="J85" t="s">
        <v>317</v>
      </c>
      <c r="K85" t="s">
        <v>318</v>
      </c>
      <c r="L85">
        <v>1368</v>
      </c>
      <c r="N85">
        <v>1011</v>
      </c>
      <c r="O85" t="s">
        <v>298</v>
      </c>
      <c r="P85" t="s">
        <v>298</v>
      </c>
      <c r="Q85">
        <v>1</v>
      </c>
      <c r="W85">
        <v>0</v>
      </c>
      <c r="X85">
        <v>-1692889495</v>
      </c>
      <c r="Y85">
        <v>2.88</v>
      </c>
      <c r="AA85">
        <v>0</v>
      </c>
      <c r="AB85">
        <v>0.9</v>
      </c>
      <c r="AC85">
        <v>0</v>
      </c>
      <c r="AD85">
        <v>0</v>
      </c>
      <c r="AE85">
        <v>0</v>
      </c>
      <c r="AF85">
        <v>0.9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2.88</v>
      </c>
      <c r="AU85" t="s">
        <v>3</v>
      </c>
      <c r="AV85">
        <v>0</v>
      </c>
      <c r="AW85">
        <v>2</v>
      </c>
      <c r="AX85">
        <v>35007998</v>
      </c>
      <c r="AY85">
        <v>1</v>
      </c>
      <c r="AZ85">
        <v>0</v>
      </c>
      <c r="BA85">
        <v>73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Y85*Source!I89</f>
        <v>0.34559999999999996</v>
      </c>
      <c r="CY85">
        <f>AB85</f>
        <v>0.9</v>
      </c>
      <c r="CZ85">
        <f>AF85</f>
        <v>0.9</v>
      </c>
      <c r="DA85">
        <f>AJ85</f>
        <v>1</v>
      </c>
      <c r="DB85">
        <v>0</v>
      </c>
    </row>
    <row r="86" spans="1:106" x14ac:dyDescent="0.2">
      <c r="A86">
        <f>ROW(Source!A89)</f>
        <v>89</v>
      </c>
      <c r="B86">
        <v>35007309</v>
      </c>
      <c r="C86">
        <v>35007682</v>
      </c>
      <c r="D86">
        <v>31519441</v>
      </c>
      <c r="E86">
        <v>1</v>
      </c>
      <c r="F86">
        <v>1</v>
      </c>
      <c r="G86">
        <v>1</v>
      </c>
      <c r="H86">
        <v>2</v>
      </c>
      <c r="I86" t="s">
        <v>319</v>
      </c>
      <c r="J86" t="s">
        <v>320</v>
      </c>
      <c r="K86" t="s">
        <v>321</v>
      </c>
      <c r="L86">
        <v>1368</v>
      </c>
      <c r="N86">
        <v>1011</v>
      </c>
      <c r="O86" t="s">
        <v>298</v>
      </c>
      <c r="P86" t="s">
        <v>298</v>
      </c>
      <c r="Q86">
        <v>1</v>
      </c>
      <c r="W86">
        <v>0</v>
      </c>
      <c r="X86">
        <v>941837819</v>
      </c>
      <c r="Y86">
        <v>2.88</v>
      </c>
      <c r="AA86">
        <v>0</v>
      </c>
      <c r="AB86">
        <v>3.28</v>
      </c>
      <c r="AC86">
        <v>0</v>
      </c>
      <c r="AD86">
        <v>0</v>
      </c>
      <c r="AE86">
        <v>0</v>
      </c>
      <c r="AF86">
        <v>3.28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3</v>
      </c>
      <c r="AT86">
        <v>2.88</v>
      </c>
      <c r="AU86" t="s">
        <v>3</v>
      </c>
      <c r="AV86">
        <v>0</v>
      </c>
      <c r="AW86">
        <v>2</v>
      </c>
      <c r="AX86">
        <v>35007999</v>
      </c>
      <c r="AY86">
        <v>1</v>
      </c>
      <c r="AZ86">
        <v>0</v>
      </c>
      <c r="BA86">
        <v>74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Y86*Source!I89</f>
        <v>0.34559999999999996</v>
      </c>
      <c r="CY86">
        <f>AB86</f>
        <v>3.28</v>
      </c>
      <c r="CZ86">
        <f>AF86</f>
        <v>3.28</v>
      </c>
      <c r="DA86">
        <f>AJ86</f>
        <v>1</v>
      </c>
      <c r="DB86">
        <v>0</v>
      </c>
    </row>
    <row r="87" spans="1:106" x14ac:dyDescent="0.2">
      <c r="A87">
        <f>ROW(Source!A89)</f>
        <v>89</v>
      </c>
      <c r="B87">
        <v>35007309</v>
      </c>
      <c r="C87">
        <v>35007682</v>
      </c>
      <c r="D87">
        <v>31520646</v>
      </c>
      <c r="E87">
        <v>1</v>
      </c>
      <c r="F87">
        <v>1</v>
      </c>
      <c r="G87">
        <v>1</v>
      </c>
      <c r="H87">
        <v>2</v>
      </c>
      <c r="I87" t="s">
        <v>299</v>
      </c>
      <c r="J87" t="s">
        <v>300</v>
      </c>
      <c r="K87" t="s">
        <v>301</v>
      </c>
      <c r="L87">
        <v>1368</v>
      </c>
      <c r="N87">
        <v>1011</v>
      </c>
      <c r="O87" t="s">
        <v>298</v>
      </c>
      <c r="P87" t="s">
        <v>298</v>
      </c>
      <c r="Q87">
        <v>1</v>
      </c>
      <c r="W87">
        <v>0</v>
      </c>
      <c r="X87">
        <v>1372534845</v>
      </c>
      <c r="Y87">
        <v>0.2</v>
      </c>
      <c r="AA87">
        <v>0</v>
      </c>
      <c r="AB87">
        <v>65.709999999999994</v>
      </c>
      <c r="AC87">
        <v>11.6</v>
      </c>
      <c r="AD87">
        <v>0</v>
      </c>
      <c r="AE87">
        <v>0</v>
      </c>
      <c r="AF87">
        <v>65.709999999999994</v>
      </c>
      <c r="AG87">
        <v>11.6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0</v>
      </c>
      <c r="AQ87">
        <v>0</v>
      </c>
      <c r="AR87">
        <v>0</v>
      </c>
      <c r="AS87" t="s">
        <v>3</v>
      </c>
      <c r="AT87">
        <v>0.2</v>
      </c>
      <c r="AU87" t="s">
        <v>3</v>
      </c>
      <c r="AV87">
        <v>0</v>
      </c>
      <c r="AW87">
        <v>2</v>
      </c>
      <c r="AX87">
        <v>35008000</v>
      </c>
      <c r="AY87">
        <v>1</v>
      </c>
      <c r="AZ87">
        <v>0</v>
      </c>
      <c r="BA87">
        <v>75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Y87*Source!I89</f>
        <v>2.4E-2</v>
      </c>
      <c r="CY87">
        <f>AB87</f>
        <v>65.709999999999994</v>
      </c>
      <c r="CZ87">
        <f>AF87</f>
        <v>65.709999999999994</v>
      </c>
      <c r="DA87">
        <f>AJ87</f>
        <v>1</v>
      </c>
      <c r="DB87">
        <v>0</v>
      </c>
    </row>
    <row r="88" spans="1:106" x14ac:dyDescent="0.2">
      <c r="A88">
        <f>ROW(Source!A89)</f>
        <v>89</v>
      </c>
      <c r="B88">
        <v>35007309</v>
      </c>
      <c r="C88">
        <v>35007682</v>
      </c>
      <c r="D88">
        <v>31438964</v>
      </c>
      <c r="E88">
        <v>1</v>
      </c>
      <c r="F88">
        <v>1</v>
      </c>
      <c r="G88">
        <v>1</v>
      </c>
      <c r="H88">
        <v>3</v>
      </c>
      <c r="I88" t="s">
        <v>322</v>
      </c>
      <c r="J88" t="s">
        <v>323</v>
      </c>
      <c r="K88" t="s">
        <v>324</v>
      </c>
      <c r="L88">
        <v>1308</v>
      </c>
      <c r="N88">
        <v>1003</v>
      </c>
      <c r="O88" t="s">
        <v>57</v>
      </c>
      <c r="P88" t="s">
        <v>57</v>
      </c>
      <c r="Q88">
        <v>100</v>
      </c>
      <c r="W88">
        <v>0</v>
      </c>
      <c r="X88">
        <v>568244124</v>
      </c>
      <c r="Y88">
        <v>2.4500000000000001E-2</v>
      </c>
      <c r="AA88">
        <v>538.79999999999995</v>
      </c>
      <c r="AB88">
        <v>0</v>
      </c>
      <c r="AC88">
        <v>0</v>
      </c>
      <c r="AD88">
        <v>0</v>
      </c>
      <c r="AE88">
        <v>120</v>
      </c>
      <c r="AF88">
        <v>0</v>
      </c>
      <c r="AG88">
        <v>0</v>
      </c>
      <c r="AH88">
        <v>0</v>
      </c>
      <c r="AI88">
        <v>4.49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2.4500000000000001E-2</v>
      </c>
      <c r="AU88" t="s">
        <v>3</v>
      </c>
      <c r="AV88">
        <v>0</v>
      </c>
      <c r="AW88">
        <v>2</v>
      </c>
      <c r="AX88">
        <v>35008001</v>
      </c>
      <c r="AY88">
        <v>1</v>
      </c>
      <c r="AZ88">
        <v>0</v>
      </c>
      <c r="BA88">
        <v>76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Y88*Source!I89</f>
        <v>2.9399999999999999E-3</v>
      </c>
      <c r="CY88">
        <f t="shared" ref="CY88:CY93" si="9">AA88</f>
        <v>538.79999999999995</v>
      </c>
      <c r="CZ88">
        <f t="shared" ref="CZ88:CZ93" si="10">AE88</f>
        <v>120</v>
      </c>
      <c r="DA88">
        <f t="shared" ref="DA88:DA93" si="11">AI88</f>
        <v>4.49</v>
      </c>
      <c r="DB88">
        <v>0</v>
      </c>
    </row>
    <row r="89" spans="1:106" x14ac:dyDescent="0.2">
      <c r="A89">
        <f>ROW(Source!A89)</f>
        <v>89</v>
      </c>
      <c r="B89">
        <v>35007309</v>
      </c>
      <c r="C89">
        <v>35007682</v>
      </c>
      <c r="D89">
        <v>31441802</v>
      </c>
      <c r="E89">
        <v>1</v>
      </c>
      <c r="F89">
        <v>1</v>
      </c>
      <c r="G89">
        <v>1</v>
      </c>
      <c r="H89">
        <v>3</v>
      </c>
      <c r="I89" t="s">
        <v>325</v>
      </c>
      <c r="J89" t="s">
        <v>326</v>
      </c>
      <c r="K89" t="s">
        <v>327</v>
      </c>
      <c r="L89">
        <v>1348</v>
      </c>
      <c r="N89">
        <v>1009</v>
      </c>
      <c r="O89" t="s">
        <v>44</v>
      </c>
      <c r="P89" t="s">
        <v>44</v>
      </c>
      <c r="Q89">
        <v>1000</v>
      </c>
      <c r="W89">
        <v>0</v>
      </c>
      <c r="X89">
        <v>-1755229539</v>
      </c>
      <c r="Y89">
        <v>1.1E-4</v>
      </c>
      <c r="AA89">
        <v>89993.2</v>
      </c>
      <c r="AB89">
        <v>0</v>
      </c>
      <c r="AC89">
        <v>0</v>
      </c>
      <c r="AD89">
        <v>0</v>
      </c>
      <c r="AE89">
        <v>12430</v>
      </c>
      <c r="AF89">
        <v>0</v>
      </c>
      <c r="AG89">
        <v>0</v>
      </c>
      <c r="AH89">
        <v>0</v>
      </c>
      <c r="AI89">
        <v>7.24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3</v>
      </c>
      <c r="AT89">
        <v>1.1E-4</v>
      </c>
      <c r="AU89" t="s">
        <v>3</v>
      </c>
      <c r="AV89">
        <v>0</v>
      </c>
      <c r="AW89">
        <v>2</v>
      </c>
      <c r="AX89">
        <v>35008002</v>
      </c>
      <c r="AY89">
        <v>1</v>
      </c>
      <c r="AZ89">
        <v>0</v>
      </c>
      <c r="BA89">
        <v>77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Y89*Source!I89</f>
        <v>1.3200000000000001E-5</v>
      </c>
      <c r="CY89">
        <f t="shared" si="9"/>
        <v>89993.2</v>
      </c>
      <c r="CZ89">
        <f t="shared" si="10"/>
        <v>12430</v>
      </c>
      <c r="DA89">
        <f t="shared" si="11"/>
        <v>7.24</v>
      </c>
      <c r="DB89">
        <v>0</v>
      </c>
    </row>
    <row r="90" spans="1:106" x14ac:dyDescent="0.2">
      <c r="A90">
        <f>ROW(Source!A89)</f>
        <v>89</v>
      </c>
      <c r="B90">
        <v>35007309</v>
      </c>
      <c r="C90">
        <v>35007682</v>
      </c>
      <c r="D90">
        <v>31466422</v>
      </c>
      <c r="E90">
        <v>1</v>
      </c>
      <c r="F90">
        <v>1</v>
      </c>
      <c r="G90">
        <v>1</v>
      </c>
      <c r="H90">
        <v>3</v>
      </c>
      <c r="I90" t="s">
        <v>328</v>
      </c>
      <c r="J90" t="s">
        <v>329</v>
      </c>
      <c r="K90" t="s">
        <v>330</v>
      </c>
      <c r="L90">
        <v>1346</v>
      </c>
      <c r="N90">
        <v>1009</v>
      </c>
      <c r="O90" t="s">
        <v>121</v>
      </c>
      <c r="P90" t="s">
        <v>121</v>
      </c>
      <c r="Q90">
        <v>1</v>
      </c>
      <c r="W90">
        <v>0</v>
      </c>
      <c r="X90">
        <v>1391681712</v>
      </c>
      <c r="Y90">
        <v>0.25</v>
      </c>
      <c r="AA90">
        <v>600.88</v>
      </c>
      <c r="AB90">
        <v>0</v>
      </c>
      <c r="AC90">
        <v>0</v>
      </c>
      <c r="AD90">
        <v>0</v>
      </c>
      <c r="AE90">
        <v>68.05</v>
      </c>
      <c r="AF90">
        <v>0</v>
      </c>
      <c r="AG90">
        <v>0</v>
      </c>
      <c r="AH90">
        <v>0</v>
      </c>
      <c r="AI90">
        <v>8.83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0.25</v>
      </c>
      <c r="AU90" t="s">
        <v>3</v>
      </c>
      <c r="AV90">
        <v>0</v>
      </c>
      <c r="AW90">
        <v>2</v>
      </c>
      <c r="AX90">
        <v>35008003</v>
      </c>
      <c r="AY90">
        <v>1</v>
      </c>
      <c r="AZ90">
        <v>0</v>
      </c>
      <c r="BA90">
        <v>78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Y90*Source!I89</f>
        <v>0.03</v>
      </c>
      <c r="CY90">
        <f t="shared" si="9"/>
        <v>600.88</v>
      </c>
      <c r="CZ90">
        <f t="shared" si="10"/>
        <v>68.05</v>
      </c>
      <c r="DA90">
        <f t="shared" si="11"/>
        <v>8.83</v>
      </c>
      <c r="DB90">
        <v>0</v>
      </c>
    </row>
    <row r="91" spans="1:106" x14ac:dyDescent="0.2">
      <c r="A91">
        <f>ROW(Source!A89)</f>
        <v>89</v>
      </c>
      <c r="B91">
        <v>35007309</v>
      </c>
      <c r="C91">
        <v>35007682</v>
      </c>
      <c r="D91">
        <v>31475248</v>
      </c>
      <c r="E91">
        <v>1</v>
      </c>
      <c r="F91">
        <v>1</v>
      </c>
      <c r="G91">
        <v>1</v>
      </c>
      <c r="H91">
        <v>3</v>
      </c>
      <c r="I91" t="s">
        <v>331</v>
      </c>
      <c r="J91" t="s">
        <v>332</v>
      </c>
      <c r="K91" t="s">
        <v>333</v>
      </c>
      <c r="L91">
        <v>1348</v>
      </c>
      <c r="N91">
        <v>1009</v>
      </c>
      <c r="O91" t="s">
        <v>44</v>
      </c>
      <c r="P91" t="s">
        <v>44</v>
      </c>
      <c r="Q91">
        <v>1000</v>
      </c>
      <c r="W91">
        <v>0</v>
      </c>
      <c r="X91">
        <v>-108263514</v>
      </c>
      <c r="Y91">
        <v>7.2000000000000005E-4</v>
      </c>
      <c r="AA91">
        <v>74903.429999999993</v>
      </c>
      <c r="AB91">
        <v>0</v>
      </c>
      <c r="AC91">
        <v>0</v>
      </c>
      <c r="AD91">
        <v>0</v>
      </c>
      <c r="AE91">
        <v>7826.9</v>
      </c>
      <c r="AF91">
        <v>0</v>
      </c>
      <c r="AG91">
        <v>0</v>
      </c>
      <c r="AH91">
        <v>0</v>
      </c>
      <c r="AI91">
        <v>9.57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7.2000000000000005E-4</v>
      </c>
      <c r="AU91" t="s">
        <v>3</v>
      </c>
      <c r="AV91">
        <v>0</v>
      </c>
      <c r="AW91">
        <v>2</v>
      </c>
      <c r="AX91">
        <v>35008004</v>
      </c>
      <c r="AY91">
        <v>1</v>
      </c>
      <c r="AZ91">
        <v>0</v>
      </c>
      <c r="BA91">
        <v>79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Y91*Source!I89</f>
        <v>8.6399999999999999E-5</v>
      </c>
      <c r="CY91">
        <f t="shared" si="9"/>
        <v>74903.429999999993</v>
      </c>
      <c r="CZ91">
        <f t="shared" si="10"/>
        <v>7826.9</v>
      </c>
      <c r="DA91">
        <f t="shared" si="11"/>
        <v>9.57</v>
      </c>
      <c r="DB91">
        <v>0</v>
      </c>
    </row>
    <row r="92" spans="1:106" x14ac:dyDescent="0.2">
      <c r="A92">
        <f>ROW(Source!A89)</f>
        <v>89</v>
      </c>
      <c r="B92">
        <v>35007309</v>
      </c>
      <c r="C92">
        <v>35007682</v>
      </c>
      <c r="D92">
        <v>31494296</v>
      </c>
      <c r="E92">
        <v>1</v>
      </c>
      <c r="F92">
        <v>1</v>
      </c>
      <c r="G92">
        <v>1</v>
      </c>
      <c r="H92">
        <v>3</v>
      </c>
      <c r="I92" t="s">
        <v>196</v>
      </c>
      <c r="J92" t="s">
        <v>198</v>
      </c>
      <c r="K92" t="s">
        <v>197</v>
      </c>
      <c r="L92">
        <v>1477</v>
      </c>
      <c r="N92">
        <v>1013</v>
      </c>
      <c r="O92" t="s">
        <v>62</v>
      </c>
      <c r="P92" t="s">
        <v>64</v>
      </c>
      <c r="Q92">
        <v>1</v>
      </c>
      <c r="W92">
        <v>0</v>
      </c>
      <c r="X92">
        <v>1943402090</v>
      </c>
      <c r="Y92">
        <v>0.10199999999999999</v>
      </c>
      <c r="AA92">
        <v>327967.19</v>
      </c>
      <c r="AB92">
        <v>0</v>
      </c>
      <c r="AC92">
        <v>0</v>
      </c>
      <c r="AD92">
        <v>0</v>
      </c>
      <c r="AE92">
        <v>76271.44</v>
      </c>
      <c r="AF92">
        <v>0</v>
      </c>
      <c r="AG92">
        <v>0</v>
      </c>
      <c r="AH92">
        <v>0</v>
      </c>
      <c r="AI92">
        <v>4.3</v>
      </c>
      <c r="AJ92">
        <v>1</v>
      </c>
      <c r="AK92">
        <v>1</v>
      </c>
      <c r="AL92">
        <v>1</v>
      </c>
      <c r="AN92">
        <v>0</v>
      </c>
      <c r="AO92">
        <v>0</v>
      </c>
      <c r="AP92">
        <v>0</v>
      </c>
      <c r="AQ92">
        <v>0</v>
      </c>
      <c r="AR92">
        <v>0</v>
      </c>
      <c r="AS92" t="s">
        <v>3</v>
      </c>
      <c r="AT92">
        <v>0.10199999999999999</v>
      </c>
      <c r="AU92" t="s">
        <v>3</v>
      </c>
      <c r="AV92">
        <v>0</v>
      </c>
      <c r="AW92">
        <v>1</v>
      </c>
      <c r="AX92">
        <v>-1</v>
      </c>
      <c r="AY92">
        <v>0</v>
      </c>
      <c r="AZ92">
        <v>0</v>
      </c>
      <c r="BA92" t="s">
        <v>3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Y92*Source!I89</f>
        <v>1.2239999999999999E-2</v>
      </c>
      <c r="CY92">
        <f t="shared" si="9"/>
        <v>327967.19</v>
      </c>
      <c r="CZ92">
        <f t="shared" si="10"/>
        <v>76271.44</v>
      </c>
      <c r="DA92">
        <f t="shared" si="11"/>
        <v>4.3</v>
      </c>
      <c r="DB92">
        <v>0</v>
      </c>
    </row>
    <row r="93" spans="1:106" x14ac:dyDescent="0.2">
      <c r="A93">
        <f>ROW(Source!A89)</f>
        <v>89</v>
      </c>
      <c r="B93">
        <v>35007309</v>
      </c>
      <c r="C93">
        <v>35007682</v>
      </c>
      <c r="D93">
        <v>31435925</v>
      </c>
      <c r="E93">
        <v>17</v>
      </c>
      <c r="F93">
        <v>1</v>
      </c>
      <c r="G93">
        <v>1</v>
      </c>
      <c r="H93">
        <v>3</v>
      </c>
      <c r="I93" t="s">
        <v>311</v>
      </c>
      <c r="J93" t="s">
        <v>3</v>
      </c>
      <c r="K93" t="s">
        <v>312</v>
      </c>
      <c r="L93">
        <v>1374</v>
      </c>
      <c r="N93">
        <v>1013</v>
      </c>
      <c r="O93" t="s">
        <v>313</v>
      </c>
      <c r="P93" t="s">
        <v>313</v>
      </c>
      <c r="Q93">
        <v>1</v>
      </c>
      <c r="W93">
        <v>0</v>
      </c>
      <c r="X93">
        <v>-1731369543</v>
      </c>
      <c r="Y93">
        <v>2.39</v>
      </c>
      <c r="AA93">
        <v>1</v>
      </c>
      <c r="AB93">
        <v>0</v>
      </c>
      <c r="AC93">
        <v>0</v>
      </c>
      <c r="AD93">
        <v>0</v>
      </c>
      <c r="AE93">
        <v>1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2.39</v>
      </c>
      <c r="AU93" t="s">
        <v>3</v>
      </c>
      <c r="AV93">
        <v>0</v>
      </c>
      <c r="AW93">
        <v>2</v>
      </c>
      <c r="AX93">
        <v>35008005</v>
      </c>
      <c r="AY93">
        <v>1</v>
      </c>
      <c r="AZ93">
        <v>0</v>
      </c>
      <c r="BA93">
        <v>80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Y93*Source!I89</f>
        <v>0.2868</v>
      </c>
      <c r="CY93">
        <f t="shared" si="9"/>
        <v>1</v>
      </c>
      <c r="CZ93">
        <f t="shared" si="10"/>
        <v>1</v>
      </c>
      <c r="DA93">
        <f t="shared" si="11"/>
        <v>1</v>
      </c>
      <c r="DB93">
        <v>0</v>
      </c>
    </row>
    <row r="94" spans="1:106" x14ac:dyDescent="0.2">
      <c r="A94">
        <f>ROW(Source!A159)</f>
        <v>159</v>
      </c>
      <c r="B94">
        <v>35007309</v>
      </c>
      <c r="C94">
        <v>35007815</v>
      </c>
      <c r="D94">
        <v>32162297</v>
      </c>
      <c r="E94">
        <v>1</v>
      </c>
      <c r="F94">
        <v>1</v>
      </c>
      <c r="G94">
        <v>1</v>
      </c>
      <c r="H94">
        <v>1</v>
      </c>
      <c r="I94" t="s">
        <v>366</v>
      </c>
      <c r="J94" t="s">
        <v>3</v>
      </c>
      <c r="K94" t="s">
        <v>367</v>
      </c>
      <c r="L94">
        <v>1191</v>
      </c>
      <c r="N94">
        <v>1013</v>
      </c>
      <c r="O94" t="s">
        <v>290</v>
      </c>
      <c r="P94" t="s">
        <v>290</v>
      </c>
      <c r="Q94">
        <v>1</v>
      </c>
      <c r="W94">
        <v>0</v>
      </c>
      <c r="X94">
        <v>-1166887252</v>
      </c>
      <c r="Y94">
        <v>0.11199999999999999</v>
      </c>
      <c r="AA94">
        <v>0</v>
      </c>
      <c r="AB94">
        <v>0</v>
      </c>
      <c r="AC94">
        <v>0</v>
      </c>
      <c r="AD94">
        <v>12.92</v>
      </c>
      <c r="AE94">
        <v>0</v>
      </c>
      <c r="AF94">
        <v>0</v>
      </c>
      <c r="AG94">
        <v>0</v>
      </c>
      <c r="AH94">
        <v>12.92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0.16</v>
      </c>
      <c r="AU94" t="s">
        <v>126</v>
      </c>
      <c r="AV94">
        <v>1</v>
      </c>
      <c r="AW94">
        <v>2</v>
      </c>
      <c r="AX94">
        <v>35008006</v>
      </c>
      <c r="AY94">
        <v>1</v>
      </c>
      <c r="AZ94">
        <v>0</v>
      </c>
      <c r="BA94">
        <v>81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Y94*Source!I159</f>
        <v>1.3439999999999999</v>
      </c>
      <c r="CY94">
        <f t="shared" ref="CY94:CY105" si="12">AD94</f>
        <v>12.92</v>
      </c>
      <c r="CZ94">
        <f t="shared" ref="CZ94:CZ105" si="13">AH94</f>
        <v>12.92</v>
      </c>
      <c r="DA94">
        <f t="shared" ref="DA94:DA105" si="14">AL94</f>
        <v>1</v>
      </c>
      <c r="DB94">
        <v>0</v>
      </c>
    </row>
    <row r="95" spans="1:106" x14ac:dyDescent="0.2">
      <c r="A95">
        <f>ROW(Source!A159)</f>
        <v>159</v>
      </c>
      <c r="B95">
        <v>35007309</v>
      </c>
      <c r="C95">
        <v>35007815</v>
      </c>
      <c r="D95">
        <v>32161334</v>
      </c>
      <c r="E95">
        <v>1</v>
      </c>
      <c r="F95">
        <v>1</v>
      </c>
      <c r="G95">
        <v>1</v>
      </c>
      <c r="H95">
        <v>1</v>
      </c>
      <c r="I95" t="s">
        <v>368</v>
      </c>
      <c r="J95" t="s">
        <v>3</v>
      </c>
      <c r="K95" t="s">
        <v>369</v>
      </c>
      <c r="L95">
        <v>1191</v>
      </c>
      <c r="N95">
        <v>1013</v>
      </c>
      <c r="O95" t="s">
        <v>290</v>
      </c>
      <c r="P95" t="s">
        <v>290</v>
      </c>
      <c r="Q95">
        <v>1</v>
      </c>
      <c r="W95">
        <v>0</v>
      </c>
      <c r="X95">
        <v>1776637054</v>
      </c>
      <c r="Y95">
        <v>0.11199999999999999</v>
      </c>
      <c r="AA95">
        <v>0</v>
      </c>
      <c r="AB95">
        <v>0</v>
      </c>
      <c r="AC95">
        <v>0</v>
      </c>
      <c r="AD95">
        <v>12.69</v>
      </c>
      <c r="AE95">
        <v>0</v>
      </c>
      <c r="AF95">
        <v>0</v>
      </c>
      <c r="AG95">
        <v>0</v>
      </c>
      <c r="AH95">
        <v>12.69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0.16</v>
      </c>
      <c r="AU95" t="s">
        <v>126</v>
      </c>
      <c r="AV95">
        <v>1</v>
      </c>
      <c r="AW95">
        <v>2</v>
      </c>
      <c r="AX95">
        <v>35008007</v>
      </c>
      <c r="AY95">
        <v>1</v>
      </c>
      <c r="AZ95">
        <v>0</v>
      </c>
      <c r="BA95">
        <v>82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Y95*Source!I159</f>
        <v>1.3439999999999999</v>
      </c>
      <c r="CY95">
        <f t="shared" si="12"/>
        <v>12.69</v>
      </c>
      <c r="CZ95">
        <f t="shared" si="13"/>
        <v>12.69</v>
      </c>
      <c r="DA95">
        <f t="shared" si="14"/>
        <v>1</v>
      </c>
      <c r="DB95">
        <v>0</v>
      </c>
    </row>
    <row r="96" spans="1:106" x14ac:dyDescent="0.2">
      <c r="A96">
        <f>ROW(Source!A160)</f>
        <v>160</v>
      </c>
      <c r="B96">
        <v>35007309</v>
      </c>
      <c r="C96">
        <v>35007820</v>
      </c>
      <c r="D96">
        <v>32162297</v>
      </c>
      <c r="E96">
        <v>1</v>
      </c>
      <c r="F96">
        <v>1</v>
      </c>
      <c r="G96">
        <v>1</v>
      </c>
      <c r="H96">
        <v>1</v>
      </c>
      <c r="I96" t="s">
        <v>366</v>
      </c>
      <c r="J96" t="s">
        <v>3</v>
      </c>
      <c r="K96" t="s">
        <v>367</v>
      </c>
      <c r="L96">
        <v>1191</v>
      </c>
      <c r="N96">
        <v>1013</v>
      </c>
      <c r="O96" t="s">
        <v>290</v>
      </c>
      <c r="P96" t="s">
        <v>290</v>
      </c>
      <c r="Q96">
        <v>1</v>
      </c>
      <c r="W96">
        <v>0</v>
      </c>
      <c r="X96">
        <v>-1166887252</v>
      </c>
      <c r="Y96">
        <v>0.41</v>
      </c>
      <c r="AA96">
        <v>0</v>
      </c>
      <c r="AB96">
        <v>0</v>
      </c>
      <c r="AC96">
        <v>0</v>
      </c>
      <c r="AD96">
        <v>12.92</v>
      </c>
      <c r="AE96">
        <v>0</v>
      </c>
      <c r="AF96">
        <v>0</v>
      </c>
      <c r="AG96">
        <v>0</v>
      </c>
      <c r="AH96">
        <v>12.92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3</v>
      </c>
      <c r="AT96">
        <v>0.41</v>
      </c>
      <c r="AU96" t="s">
        <v>3</v>
      </c>
      <c r="AV96">
        <v>1</v>
      </c>
      <c r="AW96">
        <v>2</v>
      </c>
      <c r="AX96">
        <v>35008008</v>
      </c>
      <c r="AY96">
        <v>1</v>
      </c>
      <c r="AZ96">
        <v>0</v>
      </c>
      <c r="BA96">
        <v>83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Y96*Source!I160</f>
        <v>3.69</v>
      </c>
      <c r="CY96">
        <f t="shared" si="12"/>
        <v>12.92</v>
      </c>
      <c r="CZ96">
        <f t="shared" si="13"/>
        <v>12.92</v>
      </c>
      <c r="DA96">
        <f t="shared" si="14"/>
        <v>1</v>
      </c>
      <c r="DB96">
        <v>0</v>
      </c>
    </row>
    <row r="97" spans="1:106" x14ac:dyDescent="0.2">
      <c r="A97">
        <f>ROW(Source!A160)</f>
        <v>160</v>
      </c>
      <c r="B97">
        <v>35007309</v>
      </c>
      <c r="C97">
        <v>35007820</v>
      </c>
      <c r="D97">
        <v>32161334</v>
      </c>
      <c r="E97">
        <v>1</v>
      </c>
      <c r="F97">
        <v>1</v>
      </c>
      <c r="G97">
        <v>1</v>
      </c>
      <c r="H97">
        <v>1</v>
      </c>
      <c r="I97" t="s">
        <v>368</v>
      </c>
      <c r="J97" t="s">
        <v>3</v>
      </c>
      <c r="K97" t="s">
        <v>369</v>
      </c>
      <c r="L97">
        <v>1191</v>
      </c>
      <c r="N97">
        <v>1013</v>
      </c>
      <c r="O97" t="s">
        <v>290</v>
      </c>
      <c r="P97" t="s">
        <v>290</v>
      </c>
      <c r="Q97">
        <v>1</v>
      </c>
      <c r="W97">
        <v>0</v>
      </c>
      <c r="X97">
        <v>1776637054</v>
      </c>
      <c r="Y97">
        <v>0.41</v>
      </c>
      <c r="AA97">
        <v>0</v>
      </c>
      <c r="AB97">
        <v>0</v>
      </c>
      <c r="AC97">
        <v>0</v>
      </c>
      <c r="AD97">
        <v>12.69</v>
      </c>
      <c r="AE97">
        <v>0</v>
      </c>
      <c r="AF97">
        <v>0</v>
      </c>
      <c r="AG97">
        <v>0</v>
      </c>
      <c r="AH97">
        <v>12.69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0.41</v>
      </c>
      <c r="AU97" t="s">
        <v>3</v>
      </c>
      <c r="AV97">
        <v>1</v>
      </c>
      <c r="AW97">
        <v>2</v>
      </c>
      <c r="AX97">
        <v>35008009</v>
      </c>
      <c r="AY97">
        <v>1</v>
      </c>
      <c r="AZ97">
        <v>0</v>
      </c>
      <c r="BA97">
        <v>84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Y97*Source!I160</f>
        <v>3.69</v>
      </c>
      <c r="CY97">
        <f t="shared" si="12"/>
        <v>12.69</v>
      </c>
      <c r="CZ97">
        <f t="shared" si="13"/>
        <v>12.69</v>
      </c>
      <c r="DA97">
        <f t="shared" si="14"/>
        <v>1</v>
      </c>
      <c r="DB97">
        <v>0</v>
      </c>
    </row>
    <row r="98" spans="1:106" x14ac:dyDescent="0.2">
      <c r="A98">
        <f>ROW(Source!A161)</f>
        <v>161</v>
      </c>
      <c r="B98">
        <v>35007309</v>
      </c>
      <c r="C98">
        <v>35007825</v>
      </c>
      <c r="D98">
        <v>32161581</v>
      </c>
      <c r="E98">
        <v>1</v>
      </c>
      <c r="F98">
        <v>1</v>
      </c>
      <c r="G98">
        <v>1</v>
      </c>
      <c r="H98">
        <v>1</v>
      </c>
      <c r="I98" t="s">
        <v>370</v>
      </c>
      <c r="J98" t="s">
        <v>3</v>
      </c>
      <c r="K98" t="s">
        <v>371</v>
      </c>
      <c r="L98">
        <v>1191</v>
      </c>
      <c r="N98">
        <v>1013</v>
      </c>
      <c r="O98" t="s">
        <v>290</v>
      </c>
      <c r="P98" t="s">
        <v>290</v>
      </c>
      <c r="Q98">
        <v>1</v>
      </c>
      <c r="W98">
        <v>0</v>
      </c>
      <c r="X98">
        <v>1197411217</v>
      </c>
      <c r="Y98">
        <v>2.92</v>
      </c>
      <c r="AA98">
        <v>0</v>
      </c>
      <c r="AB98">
        <v>0</v>
      </c>
      <c r="AC98">
        <v>0</v>
      </c>
      <c r="AD98">
        <v>9.6199999999999992</v>
      </c>
      <c r="AE98">
        <v>0</v>
      </c>
      <c r="AF98">
        <v>0</v>
      </c>
      <c r="AG98">
        <v>0</v>
      </c>
      <c r="AH98">
        <v>9.6199999999999992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2.92</v>
      </c>
      <c r="AU98" t="s">
        <v>3</v>
      </c>
      <c r="AV98">
        <v>1</v>
      </c>
      <c r="AW98">
        <v>2</v>
      </c>
      <c r="AX98">
        <v>35008010</v>
      </c>
      <c r="AY98">
        <v>1</v>
      </c>
      <c r="AZ98">
        <v>0</v>
      </c>
      <c r="BA98">
        <v>85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Y98*Source!I161</f>
        <v>8.76</v>
      </c>
      <c r="CY98">
        <f t="shared" si="12"/>
        <v>9.6199999999999992</v>
      </c>
      <c r="CZ98">
        <f t="shared" si="13"/>
        <v>9.6199999999999992</v>
      </c>
      <c r="DA98">
        <f t="shared" si="14"/>
        <v>1</v>
      </c>
      <c r="DB98">
        <v>0</v>
      </c>
    </row>
    <row r="99" spans="1:106" x14ac:dyDescent="0.2">
      <c r="A99">
        <f>ROW(Source!A161)</f>
        <v>161</v>
      </c>
      <c r="B99">
        <v>35007309</v>
      </c>
      <c r="C99">
        <v>35007825</v>
      </c>
      <c r="D99">
        <v>32161334</v>
      </c>
      <c r="E99">
        <v>1</v>
      </c>
      <c r="F99">
        <v>1</v>
      </c>
      <c r="G99">
        <v>1</v>
      </c>
      <c r="H99">
        <v>1</v>
      </c>
      <c r="I99" t="s">
        <v>368</v>
      </c>
      <c r="J99" t="s">
        <v>3</v>
      </c>
      <c r="K99" t="s">
        <v>369</v>
      </c>
      <c r="L99">
        <v>1191</v>
      </c>
      <c r="N99">
        <v>1013</v>
      </c>
      <c r="O99" t="s">
        <v>290</v>
      </c>
      <c r="P99" t="s">
        <v>290</v>
      </c>
      <c r="Q99">
        <v>1</v>
      </c>
      <c r="W99">
        <v>0</v>
      </c>
      <c r="X99">
        <v>1776637054</v>
      </c>
      <c r="Y99">
        <v>4.37</v>
      </c>
      <c r="AA99">
        <v>0</v>
      </c>
      <c r="AB99">
        <v>0</v>
      </c>
      <c r="AC99">
        <v>0</v>
      </c>
      <c r="AD99">
        <v>12.69</v>
      </c>
      <c r="AE99">
        <v>0</v>
      </c>
      <c r="AF99">
        <v>0</v>
      </c>
      <c r="AG99">
        <v>0</v>
      </c>
      <c r="AH99">
        <v>12.69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4.37</v>
      </c>
      <c r="AU99" t="s">
        <v>3</v>
      </c>
      <c r="AV99">
        <v>1</v>
      </c>
      <c r="AW99">
        <v>2</v>
      </c>
      <c r="AX99">
        <v>35008011</v>
      </c>
      <c r="AY99">
        <v>1</v>
      </c>
      <c r="AZ99">
        <v>0</v>
      </c>
      <c r="BA99">
        <v>86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Y99*Source!I161</f>
        <v>13.11</v>
      </c>
      <c r="CY99">
        <f t="shared" si="12"/>
        <v>12.69</v>
      </c>
      <c r="CZ99">
        <f t="shared" si="13"/>
        <v>12.69</v>
      </c>
      <c r="DA99">
        <f t="shared" si="14"/>
        <v>1</v>
      </c>
      <c r="DB99">
        <v>0</v>
      </c>
    </row>
    <row r="100" spans="1:106" x14ac:dyDescent="0.2">
      <c r="A100">
        <f>ROW(Source!A162)</f>
        <v>162</v>
      </c>
      <c r="B100">
        <v>35007309</v>
      </c>
      <c r="C100">
        <v>35007830</v>
      </c>
      <c r="D100">
        <v>32162297</v>
      </c>
      <c r="E100">
        <v>1</v>
      </c>
      <c r="F100">
        <v>1</v>
      </c>
      <c r="G100">
        <v>1</v>
      </c>
      <c r="H100">
        <v>1</v>
      </c>
      <c r="I100" t="s">
        <v>366</v>
      </c>
      <c r="J100" t="s">
        <v>3</v>
      </c>
      <c r="K100" t="s">
        <v>367</v>
      </c>
      <c r="L100">
        <v>1191</v>
      </c>
      <c r="N100">
        <v>1013</v>
      </c>
      <c r="O100" t="s">
        <v>290</v>
      </c>
      <c r="P100" t="s">
        <v>290</v>
      </c>
      <c r="Q100">
        <v>1</v>
      </c>
      <c r="W100">
        <v>0</v>
      </c>
      <c r="X100">
        <v>-1166887252</v>
      </c>
      <c r="Y100">
        <v>0.61</v>
      </c>
      <c r="AA100">
        <v>0</v>
      </c>
      <c r="AB100">
        <v>0</v>
      </c>
      <c r="AC100">
        <v>0</v>
      </c>
      <c r="AD100">
        <v>12.92</v>
      </c>
      <c r="AE100">
        <v>0</v>
      </c>
      <c r="AF100">
        <v>0</v>
      </c>
      <c r="AG100">
        <v>0</v>
      </c>
      <c r="AH100">
        <v>12.92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0.61</v>
      </c>
      <c r="AU100" t="s">
        <v>3</v>
      </c>
      <c r="AV100">
        <v>1</v>
      </c>
      <c r="AW100">
        <v>2</v>
      </c>
      <c r="AX100">
        <v>35008012</v>
      </c>
      <c r="AY100">
        <v>1</v>
      </c>
      <c r="AZ100">
        <v>0</v>
      </c>
      <c r="BA100">
        <v>87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Y100*Source!I162</f>
        <v>0.61</v>
      </c>
      <c r="CY100">
        <f t="shared" si="12"/>
        <v>12.92</v>
      </c>
      <c r="CZ100">
        <f t="shared" si="13"/>
        <v>12.92</v>
      </c>
      <c r="DA100">
        <f t="shared" si="14"/>
        <v>1</v>
      </c>
      <c r="DB100">
        <v>0</v>
      </c>
    </row>
    <row r="101" spans="1:106" x14ac:dyDescent="0.2">
      <c r="A101">
        <f>ROW(Source!A162)</f>
        <v>162</v>
      </c>
      <c r="B101">
        <v>35007309</v>
      </c>
      <c r="C101">
        <v>35007830</v>
      </c>
      <c r="D101">
        <v>32161334</v>
      </c>
      <c r="E101">
        <v>1</v>
      </c>
      <c r="F101">
        <v>1</v>
      </c>
      <c r="G101">
        <v>1</v>
      </c>
      <c r="H101">
        <v>1</v>
      </c>
      <c r="I101" t="s">
        <v>368</v>
      </c>
      <c r="J101" t="s">
        <v>3</v>
      </c>
      <c r="K101" t="s">
        <v>369</v>
      </c>
      <c r="L101">
        <v>1191</v>
      </c>
      <c r="N101">
        <v>1013</v>
      </c>
      <c r="O101" t="s">
        <v>290</v>
      </c>
      <c r="P101" t="s">
        <v>290</v>
      </c>
      <c r="Q101">
        <v>1</v>
      </c>
      <c r="W101">
        <v>0</v>
      </c>
      <c r="X101">
        <v>1776637054</v>
      </c>
      <c r="Y101">
        <v>0.61</v>
      </c>
      <c r="AA101">
        <v>0</v>
      </c>
      <c r="AB101">
        <v>0</v>
      </c>
      <c r="AC101">
        <v>0</v>
      </c>
      <c r="AD101">
        <v>12.69</v>
      </c>
      <c r="AE101">
        <v>0</v>
      </c>
      <c r="AF101">
        <v>0</v>
      </c>
      <c r="AG101">
        <v>0</v>
      </c>
      <c r="AH101">
        <v>12.69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0.61</v>
      </c>
      <c r="AU101" t="s">
        <v>3</v>
      </c>
      <c r="AV101">
        <v>1</v>
      </c>
      <c r="AW101">
        <v>2</v>
      </c>
      <c r="AX101">
        <v>35008013</v>
      </c>
      <c r="AY101">
        <v>1</v>
      </c>
      <c r="AZ101">
        <v>0</v>
      </c>
      <c r="BA101">
        <v>88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Y101*Source!I162</f>
        <v>0.61</v>
      </c>
      <c r="CY101">
        <f t="shared" si="12"/>
        <v>12.69</v>
      </c>
      <c r="CZ101">
        <f t="shared" si="13"/>
        <v>12.69</v>
      </c>
      <c r="DA101">
        <f t="shared" si="14"/>
        <v>1</v>
      </c>
      <c r="DB101">
        <v>0</v>
      </c>
    </row>
    <row r="102" spans="1:106" x14ac:dyDescent="0.2">
      <c r="A102">
        <f>ROW(Source!A197)</f>
        <v>197</v>
      </c>
      <c r="B102">
        <v>35007309</v>
      </c>
      <c r="C102">
        <v>35007889</v>
      </c>
      <c r="D102">
        <v>32162297</v>
      </c>
      <c r="E102">
        <v>1</v>
      </c>
      <c r="F102">
        <v>1</v>
      </c>
      <c r="G102">
        <v>1</v>
      </c>
      <c r="H102">
        <v>1</v>
      </c>
      <c r="I102" t="s">
        <v>366</v>
      </c>
      <c r="J102" t="s">
        <v>3</v>
      </c>
      <c r="K102" t="s">
        <v>367</v>
      </c>
      <c r="L102">
        <v>1191</v>
      </c>
      <c r="N102">
        <v>1013</v>
      </c>
      <c r="O102" t="s">
        <v>290</v>
      </c>
      <c r="P102" t="s">
        <v>290</v>
      </c>
      <c r="Q102">
        <v>1</v>
      </c>
      <c r="W102">
        <v>0</v>
      </c>
      <c r="X102">
        <v>-1166887252</v>
      </c>
      <c r="Y102">
        <v>0.20800000000000002</v>
      </c>
      <c r="AA102">
        <v>0</v>
      </c>
      <c r="AB102">
        <v>0</v>
      </c>
      <c r="AC102">
        <v>0</v>
      </c>
      <c r="AD102">
        <v>12.92</v>
      </c>
      <c r="AE102">
        <v>0</v>
      </c>
      <c r="AF102">
        <v>0</v>
      </c>
      <c r="AG102">
        <v>0</v>
      </c>
      <c r="AH102">
        <v>12.92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0.16</v>
      </c>
      <c r="AU102" t="s">
        <v>221</v>
      </c>
      <c r="AV102">
        <v>1</v>
      </c>
      <c r="AW102">
        <v>2</v>
      </c>
      <c r="AX102">
        <v>35008014</v>
      </c>
      <c r="AY102">
        <v>1</v>
      </c>
      <c r="AZ102">
        <v>0</v>
      </c>
      <c r="BA102">
        <v>89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Y102*Source!I197</f>
        <v>0.20800000000000002</v>
      </c>
      <c r="CY102">
        <f t="shared" si="12"/>
        <v>12.92</v>
      </c>
      <c r="CZ102">
        <f t="shared" si="13"/>
        <v>12.92</v>
      </c>
      <c r="DA102">
        <f t="shared" si="14"/>
        <v>1</v>
      </c>
      <c r="DB102">
        <v>0</v>
      </c>
    </row>
    <row r="103" spans="1:106" x14ac:dyDescent="0.2">
      <c r="A103">
        <f>ROW(Source!A197)</f>
        <v>197</v>
      </c>
      <c r="B103">
        <v>35007309</v>
      </c>
      <c r="C103">
        <v>35007889</v>
      </c>
      <c r="D103">
        <v>32161334</v>
      </c>
      <c r="E103">
        <v>1</v>
      </c>
      <c r="F103">
        <v>1</v>
      </c>
      <c r="G103">
        <v>1</v>
      </c>
      <c r="H103">
        <v>1</v>
      </c>
      <c r="I103" t="s">
        <v>368</v>
      </c>
      <c r="J103" t="s">
        <v>3</v>
      </c>
      <c r="K103" t="s">
        <v>369</v>
      </c>
      <c r="L103">
        <v>1191</v>
      </c>
      <c r="N103">
        <v>1013</v>
      </c>
      <c r="O103" t="s">
        <v>290</v>
      </c>
      <c r="P103" t="s">
        <v>290</v>
      </c>
      <c r="Q103">
        <v>1</v>
      </c>
      <c r="W103">
        <v>0</v>
      </c>
      <c r="X103">
        <v>1776637054</v>
      </c>
      <c r="Y103">
        <v>0.20800000000000002</v>
      </c>
      <c r="AA103">
        <v>0</v>
      </c>
      <c r="AB103">
        <v>0</v>
      </c>
      <c r="AC103">
        <v>0</v>
      </c>
      <c r="AD103">
        <v>12.69</v>
      </c>
      <c r="AE103">
        <v>0</v>
      </c>
      <c r="AF103">
        <v>0</v>
      </c>
      <c r="AG103">
        <v>0</v>
      </c>
      <c r="AH103">
        <v>12.69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0.16</v>
      </c>
      <c r="AU103" t="s">
        <v>221</v>
      </c>
      <c r="AV103">
        <v>1</v>
      </c>
      <c r="AW103">
        <v>2</v>
      </c>
      <c r="AX103">
        <v>35008015</v>
      </c>
      <c r="AY103">
        <v>1</v>
      </c>
      <c r="AZ103">
        <v>0</v>
      </c>
      <c r="BA103">
        <v>90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Y103*Source!I197</f>
        <v>0.20800000000000002</v>
      </c>
      <c r="CY103">
        <f t="shared" si="12"/>
        <v>12.69</v>
      </c>
      <c r="CZ103">
        <f t="shared" si="13"/>
        <v>12.69</v>
      </c>
      <c r="DA103">
        <f t="shared" si="14"/>
        <v>1</v>
      </c>
      <c r="DB103">
        <v>0</v>
      </c>
    </row>
    <row r="104" spans="1:106" x14ac:dyDescent="0.2">
      <c r="A104">
        <f>ROW(Source!A198)</f>
        <v>198</v>
      </c>
      <c r="B104">
        <v>35007309</v>
      </c>
      <c r="C104">
        <v>35007894</v>
      </c>
      <c r="D104">
        <v>32162297</v>
      </c>
      <c r="E104">
        <v>1</v>
      </c>
      <c r="F104">
        <v>1</v>
      </c>
      <c r="G104">
        <v>1</v>
      </c>
      <c r="H104">
        <v>1</v>
      </c>
      <c r="I104" t="s">
        <v>366</v>
      </c>
      <c r="J104" t="s">
        <v>3</v>
      </c>
      <c r="K104" t="s">
        <v>367</v>
      </c>
      <c r="L104">
        <v>1191</v>
      </c>
      <c r="N104">
        <v>1013</v>
      </c>
      <c r="O104" t="s">
        <v>290</v>
      </c>
      <c r="P104" t="s">
        <v>290</v>
      </c>
      <c r="Q104">
        <v>1</v>
      </c>
      <c r="W104">
        <v>0</v>
      </c>
      <c r="X104">
        <v>-1166887252</v>
      </c>
      <c r="Y104">
        <v>0.41</v>
      </c>
      <c r="AA104">
        <v>0</v>
      </c>
      <c r="AB104">
        <v>0</v>
      </c>
      <c r="AC104">
        <v>0</v>
      </c>
      <c r="AD104">
        <v>12.92</v>
      </c>
      <c r="AE104">
        <v>0</v>
      </c>
      <c r="AF104">
        <v>0</v>
      </c>
      <c r="AG104">
        <v>0</v>
      </c>
      <c r="AH104">
        <v>12.92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0.41</v>
      </c>
      <c r="AU104" t="s">
        <v>3</v>
      </c>
      <c r="AV104">
        <v>1</v>
      </c>
      <c r="AW104">
        <v>2</v>
      </c>
      <c r="AX104">
        <v>35008016</v>
      </c>
      <c r="AY104">
        <v>1</v>
      </c>
      <c r="AZ104">
        <v>0</v>
      </c>
      <c r="BA104">
        <v>91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Y104*Source!I198</f>
        <v>1.23</v>
      </c>
      <c r="CY104">
        <f t="shared" si="12"/>
        <v>12.92</v>
      </c>
      <c r="CZ104">
        <f t="shared" si="13"/>
        <v>12.92</v>
      </c>
      <c r="DA104">
        <f t="shared" si="14"/>
        <v>1</v>
      </c>
      <c r="DB104">
        <v>0</v>
      </c>
    </row>
    <row r="105" spans="1:106" x14ac:dyDescent="0.2">
      <c r="A105">
        <f>ROW(Source!A198)</f>
        <v>198</v>
      </c>
      <c r="B105">
        <v>35007309</v>
      </c>
      <c r="C105">
        <v>35007894</v>
      </c>
      <c r="D105">
        <v>32161334</v>
      </c>
      <c r="E105">
        <v>1</v>
      </c>
      <c r="F105">
        <v>1</v>
      </c>
      <c r="G105">
        <v>1</v>
      </c>
      <c r="H105">
        <v>1</v>
      </c>
      <c r="I105" t="s">
        <v>368</v>
      </c>
      <c r="J105" t="s">
        <v>3</v>
      </c>
      <c r="K105" t="s">
        <v>369</v>
      </c>
      <c r="L105">
        <v>1191</v>
      </c>
      <c r="N105">
        <v>1013</v>
      </c>
      <c r="O105" t="s">
        <v>290</v>
      </c>
      <c r="P105" t="s">
        <v>290</v>
      </c>
      <c r="Q105">
        <v>1</v>
      </c>
      <c r="W105">
        <v>0</v>
      </c>
      <c r="X105">
        <v>1776637054</v>
      </c>
      <c r="Y105">
        <v>0.41</v>
      </c>
      <c r="AA105">
        <v>0</v>
      </c>
      <c r="AB105">
        <v>0</v>
      </c>
      <c r="AC105">
        <v>0</v>
      </c>
      <c r="AD105">
        <v>12.69</v>
      </c>
      <c r="AE105">
        <v>0</v>
      </c>
      <c r="AF105">
        <v>0</v>
      </c>
      <c r="AG105">
        <v>0</v>
      </c>
      <c r="AH105">
        <v>12.69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0.41</v>
      </c>
      <c r="AU105" t="s">
        <v>3</v>
      </c>
      <c r="AV105">
        <v>1</v>
      </c>
      <c r="AW105">
        <v>2</v>
      </c>
      <c r="AX105">
        <v>35008017</v>
      </c>
      <c r="AY105">
        <v>1</v>
      </c>
      <c r="AZ105">
        <v>0</v>
      </c>
      <c r="BA105">
        <v>92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Y105*Source!I198</f>
        <v>1.23</v>
      </c>
      <c r="CY105">
        <f t="shared" si="12"/>
        <v>12.69</v>
      </c>
      <c r="CZ105">
        <f t="shared" si="13"/>
        <v>12.69</v>
      </c>
      <c r="DA105">
        <f t="shared" si="14"/>
        <v>1</v>
      </c>
      <c r="DB105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35007925</v>
      </c>
      <c r="C1">
        <v>35007445</v>
      </c>
      <c r="D1">
        <v>31710352</v>
      </c>
      <c r="E1">
        <v>1</v>
      </c>
      <c r="F1">
        <v>1</v>
      </c>
      <c r="G1">
        <v>1</v>
      </c>
      <c r="H1">
        <v>1</v>
      </c>
      <c r="I1" t="s">
        <v>288</v>
      </c>
      <c r="J1" t="s">
        <v>3</v>
      </c>
      <c r="K1" t="s">
        <v>289</v>
      </c>
      <c r="L1">
        <v>1191</v>
      </c>
      <c r="N1">
        <v>1013</v>
      </c>
      <c r="O1" t="s">
        <v>290</v>
      </c>
      <c r="P1" t="s">
        <v>290</v>
      </c>
      <c r="Q1">
        <v>1</v>
      </c>
      <c r="X1">
        <v>88.5</v>
      </c>
      <c r="Y1">
        <v>0</v>
      </c>
      <c r="Z1">
        <v>0</v>
      </c>
      <c r="AA1">
        <v>0</v>
      </c>
      <c r="AB1">
        <v>7.5</v>
      </c>
      <c r="AC1">
        <v>0</v>
      </c>
      <c r="AD1">
        <v>1</v>
      </c>
      <c r="AE1">
        <v>1</v>
      </c>
      <c r="AF1" t="s">
        <v>3</v>
      </c>
      <c r="AG1">
        <v>88.5</v>
      </c>
      <c r="AH1">
        <v>2</v>
      </c>
      <c r="AI1">
        <v>35007925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ROW(Source!A30)</f>
        <v>30</v>
      </c>
      <c r="B2">
        <v>35007926</v>
      </c>
      <c r="C2">
        <v>35007450</v>
      </c>
      <c r="D2">
        <v>31710352</v>
      </c>
      <c r="E2">
        <v>1</v>
      </c>
      <c r="F2">
        <v>1</v>
      </c>
      <c r="G2">
        <v>1</v>
      </c>
      <c r="H2">
        <v>1</v>
      </c>
      <c r="I2" t="s">
        <v>288</v>
      </c>
      <c r="J2" t="s">
        <v>3</v>
      </c>
      <c r="K2" t="s">
        <v>289</v>
      </c>
      <c r="L2">
        <v>1191</v>
      </c>
      <c r="N2">
        <v>1013</v>
      </c>
      <c r="O2" t="s">
        <v>290</v>
      </c>
      <c r="P2" t="s">
        <v>290</v>
      </c>
      <c r="Q2">
        <v>1</v>
      </c>
      <c r="X2">
        <v>97.2</v>
      </c>
      <c r="Y2">
        <v>0</v>
      </c>
      <c r="Z2">
        <v>0</v>
      </c>
      <c r="AA2">
        <v>0</v>
      </c>
      <c r="AB2">
        <v>7.5</v>
      </c>
      <c r="AC2">
        <v>0</v>
      </c>
      <c r="AD2">
        <v>1</v>
      </c>
      <c r="AE2">
        <v>1</v>
      </c>
      <c r="AF2" t="s">
        <v>3</v>
      </c>
      <c r="AG2">
        <v>97.2</v>
      </c>
      <c r="AH2">
        <v>2</v>
      </c>
      <c r="AI2">
        <v>35007926</v>
      </c>
      <c r="AJ2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ROW(Source!A32)</f>
        <v>32</v>
      </c>
      <c r="B3">
        <v>35007927</v>
      </c>
      <c r="C3">
        <v>35007455</v>
      </c>
      <c r="D3">
        <v>31703728</v>
      </c>
      <c r="E3">
        <v>1</v>
      </c>
      <c r="F3">
        <v>1</v>
      </c>
      <c r="G3">
        <v>1</v>
      </c>
      <c r="H3">
        <v>1</v>
      </c>
      <c r="I3" t="s">
        <v>291</v>
      </c>
      <c r="J3" t="s">
        <v>3</v>
      </c>
      <c r="K3" t="s">
        <v>292</v>
      </c>
      <c r="L3">
        <v>1191</v>
      </c>
      <c r="N3">
        <v>1013</v>
      </c>
      <c r="O3" t="s">
        <v>290</v>
      </c>
      <c r="P3" t="s">
        <v>290</v>
      </c>
      <c r="Q3">
        <v>1</v>
      </c>
      <c r="X3">
        <v>46.48</v>
      </c>
      <c r="Y3">
        <v>0</v>
      </c>
      <c r="Z3">
        <v>0</v>
      </c>
      <c r="AA3">
        <v>0</v>
      </c>
      <c r="AB3">
        <v>9.4</v>
      </c>
      <c r="AC3">
        <v>0</v>
      </c>
      <c r="AD3">
        <v>1</v>
      </c>
      <c r="AE3">
        <v>1</v>
      </c>
      <c r="AF3" t="s">
        <v>3</v>
      </c>
      <c r="AG3">
        <v>46.48</v>
      </c>
      <c r="AH3">
        <v>2</v>
      </c>
      <c r="AI3">
        <v>35007927</v>
      </c>
      <c r="AJ3">
        <v>5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ROW(Source!A32)</f>
        <v>32</v>
      </c>
      <c r="B4">
        <v>35007928</v>
      </c>
      <c r="C4">
        <v>35007455</v>
      </c>
      <c r="D4">
        <v>31703727</v>
      </c>
      <c r="E4">
        <v>1</v>
      </c>
      <c r="F4">
        <v>1</v>
      </c>
      <c r="G4">
        <v>1</v>
      </c>
      <c r="H4">
        <v>1</v>
      </c>
      <c r="I4" t="s">
        <v>293</v>
      </c>
      <c r="J4" t="s">
        <v>3</v>
      </c>
      <c r="K4" t="s">
        <v>294</v>
      </c>
      <c r="L4">
        <v>1191</v>
      </c>
      <c r="N4">
        <v>1013</v>
      </c>
      <c r="O4" t="s">
        <v>290</v>
      </c>
      <c r="P4" t="s">
        <v>290</v>
      </c>
      <c r="Q4">
        <v>1</v>
      </c>
      <c r="X4">
        <v>2.5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2</v>
      </c>
      <c r="AF4" t="s">
        <v>3</v>
      </c>
      <c r="AG4">
        <v>2.5</v>
      </c>
      <c r="AH4">
        <v>2</v>
      </c>
      <c r="AI4">
        <v>35007928</v>
      </c>
      <c r="AJ4">
        <v>6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35007929</v>
      </c>
      <c r="C5">
        <v>35007455</v>
      </c>
      <c r="D5">
        <v>31519244</v>
      </c>
      <c r="E5">
        <v>1</v>
      </c>
      <c r="F5">
        <v>1</v>
      </c>
      <c r="G5">
        <v>1</v>
      </c>
      <c r="H5">
        <v>2</v>
      </c>
      <c r="I5" t="s">
        <v>295</v>
      </c>
      <c r="J5" t="s">
        <v>296</v>
      </c>
      <c r="K5" t="s">
        <v>297</v>
      </c>
      <c r="L5">
        <v>1368</v>
      </c>
      <c r="N5">
        <v>1011</v>
      </c>
      <c r="O5" t="s">
        <v>298</v>
      </c>
      <c r="P5" t="s">
        <v>298</v>
      </c>
      <c r="Q5">
        <v>1</v>
      </c>
      <c r="X5">
        <v>1.25</v>
      </c>
      <c r="Y5">
        <v>0</v>
      </c>
      <c r="Z5">
        <v>111.99</v>
      </c>
      <c r="AA5">
        <v>13.5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1.25</v>
      </c>
      <c r="AH5">
        <v>2</v>
      </c>
      <c r="AI5">
        <v>35007929</v>
      </c>
      <c r="AJ5">
        <v>7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ROW(Source!A32)</f>
        <v>32</v>
      </c>
      <c r="B6">
        <v>35007930</v>
      </c>
      <c r="C6">
        <v>35007455</v>
      </c>
      <c r="D6">
        <v>31520646</v>
      </c>
      <c r="E6">
        <v>1</v>
      </c>
      <c r="F6">
        <v>1</v>
      </c>
      <c r="G6">
        <v>1</v>
      </c>
      <c r="H6">
        <v>2</v>
      </c>
      <c r="I6" t="s">
        <v>299</v>
      </c>
      <c r="J6" t="s">
        <v>300</v>
      </c>
      <c r="K6" t="s">
        <v>301</v>
      </c>
      <c r="L6">
        <v>1368</v>
      </c>
      <c r="N6">
        <v>1011</v>
      </c>
      <c r="O6" t="s">
        <v>298</v>
      </c>
      <c r="P6" t="s">
        <v>298</v>
      </c>
      <c r="Q6">
        <v>1</v>
      </c>
      <c r="X6">
        <v>1.25</v>
      </c>
      <c r="Y6">
        <v>0</v>
      </c>
      <c r="Z6">
        <v>65.709999999999994</v>
      </c>
      <c r="AA6">
        <v>11.6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1.25</v>
      </c>
      <c r="AH6">
        <v>2</v>
      </c>
      <c r="AI6">
        <v>35007930</v>
      </c>
      <c r="AJ6">
        <v>8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ROW(Source!A32)</f>
        <v>32</v>
      </c>
      <c r="B7">
        <v>35007931</v>
      </c>
      <c r="C7">
        <v>35007455</v>
      </c>
      <c r="D7">
        <v>31520988</v>
      </c>
      <c r="E7">
        <v>1</v>
      </c>
      <c r="F7">
        <v>1</v>
      </c>
      <c r="G7">
        <v>1</v>
      </c>
      <c r="H7">
        <v>2</v>
      </c>
      <c r="I7" t="s">
        <v>302</v>
      </c>
      <c r="J7" t="s">
        <v>303</v>
      </c>
      <c r="K7" t="s">
        <v>304</v>
      </c>
      <c r="L7">
        <v>1368</v>
      </c>
      <c r="N7">
        <v>1011</v>
      </c>
      <c r="O7" t="s">
        <v>298</v>
      </c>
      <c r="P7" t="s">
        <v>298</v>
      </c>
      <c r="Q7">
        <v>1</v>
      </c>
      <c r="X7">
        <v>8.48</v>
      </c>
      <c r="Y7">
        <v>0</v>
      </c>
      <c r="Z7">
        <v>8.1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8.48</v>
      </c>
      <c r="AH7">
        <v>2</v>
      </c>
      <c r="AI7">
        <v>35007931</v>
      </c>
      <c r="AJ7">
        <v>9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35007932</v>
      </c>
      <c r="C8">
        <v>35007455</v>
      </c>
      <c r="D8">
        <v>31440116</v>
      </c>
      <c r="E8">
        <v>1</v>
      </c>
      <c r="F8">
        <v>1</v>
      </c>
      <c r="G8">
        <v>1</v>
      </c>
      <c r="H8">
        <v>3</v>
      </c>
      <c r="I8" t="s">
        <v>305</v>
      </c>
      <c r="J8" t="s">
        <v>306</v>
      </c>
      <c r="K8" t="s">
        <v>307</v>
      </c>
      <c r="L8">
        <v>1346</v>
      </c>
      <c r="N8">
        <v>1009</v>
      </c>
      <c r="O8" t="s">
        <v>121</v>
      </c>
      <c r="P8" t="s">
        <v>121</v>
      </c>
      <c r="Q8">
        <v>1</v>
      </c>
      <c r="X8">
        <v>2.66</v>
      </c>
      <c r="Y8">
        <v>10.57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2.66</v>
      </c>
      <c r="AH8">
        <v>2</v>
      </c>
      <c r="AI8">
        <v>35007932</v>
      </c>
      <c r="AJ8">
        <v>10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35007933</v>
      </c>
      <c r="C9">
        <v>35007455</v>
      </c>
      <c r="D9">
        <v>31441306</v>
      </c>
      <c r="E9">
        <v>1</v>
      </c>
      <c r="F9">
        <v>1</v>
      </c>
      <c r="G9">
        <v>1</v>
      </c>
      <c r="H9">
        <v>3</v>
      </c>
      <c r="I9" t="s">
        <v>308</v>
      </c>
      <c r="J9" t="s">
        <v>309</v>
      </c>
      <c r="K9" t="s">
        <v>310</v>
      </c>
      <c r="L9">
        <v>1346</v>
      </c>
      <c r="N9">
        <v>1009</v>
      </c>
      <c r="O9" t="s">
        <v>121</v>
      </c>
      <c r="P9" t="s">
        <v>121</v>
      </c>
      <c r="Q9">
        <v>1</v>
      </c>
      <c r="X9">
        <v>1.78</v>
      </c>
      <c r="Y9">
        <v>9.0399999999999991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1.78</v>
      </c>
      <c r="AH9">
        <v>2</v>
      </c>
      <c r="AI9">
        <v>35007933</v>
      </c>
      <c r="AJ9">
        <v>11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35007934</v>
      </c>
      <c r="C10">
        <v>35007455</v>
      </c>
      <c r="D10">
        <v>31435925</v>
      </c>
      <c r="E10">
        <v>17</v>
      </c>
      <c r="F10">
        <v>1</v>
      </c>
      <c r="G10">
        <v>1</v>
      </c>
      <c r="H10">
        <v>3</v>
      </c>
      <c r="I10" t="s">
        <v>311</v>
      </c>
      <c r="J10" t="s">
        <v>3</v>
      </c>
      <c r="K10" t="s">
        <v>312</v>
      </c>
      <c r="L10">
        <v>1374</v>
      </c>
      <c r="N10">
        <v>1013</v>
      </c>
      <c r="O10" t="s">
        <v>313</v>
      </c>
      <c r="P10" t="s">
        <v>313</v>
      </c>
      <c r="Q10">
        <v>1</v>
      </c>
      <c r="X10">
        <v>8.74</v>
      </c>
      <c r="Y10">
        <v>1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8.74</v>
      </c>
      <c r="AH10">
        <v>2</v>
      </c>
      <c r="AI10">
        <v>35007934</v>
      </c>
      <c r="AJ10">
        <v>13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ROW(Source!A34)</f>
        <v>34</v>
      </c>
      <c r="B11">
        <v>35007935</v>
      </c>
      <c r="C11">
        <v>35007474</v>
      </c>
      <c r="D11">
        <v>31709886</v>
      </c>
      <c r="E11">
        <v>1</v>
      </c>
      <c r="F11">
        <v>1</v>
      </c>
      <c r="G11">
        <v>1</v>
      </c>
      <c r="H11">
        <v>1</v>
      </c>
      <c r="I11" t="s">
        <v>314</v>
      </c>
      <c r="J11" t="s">
        <v>3</v>
      </c>
      <c r="K11" t="s">
        <v>315</v>
      </c>
      <c r="L11">
        <v>1191</v>
      </c>
      <c r="N11">
        <v>1013</v>
      </c>
      <c r="O11" t="s">
        <v>290</v>
      </c>
      <c r="P11" t="s">
        <v>290</v>
      </c>
      <c r="Q11">
        <v>1</v>
      </c>
      <c r="X11">
        <v>9.33</v>
      </c>
      <c r="Y11">
        <v>0</v>
      </c>
      <c r="Z11">
        <v>0</v>
      </c>
      <c r="AA11">
        <v>0</v>
      </c>
      <c r="AB11">
        <v>9.6199999999999992</v>
      </c>
      <c r="AC11">
        <v>0</v>
      </c>
      <c r="AD11">
        <v>1</v>
      </c>
      <c r="AE11">
        <v>1</v>
      </c>
      <c r="AF11" t="s">
        <v>3</v>
      </c>
      <c r="AG11">
        <v>9.33</v>
      </c>
      <c r="AH11">
        <v>2</v>
      </c>
      <c r="AI11">
        <v>35007935</v>
      </c>
      <c r="AJ11">
        <v>14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ROW(Source!A34)</f>
        <v>34</v>
      </c>
      <c r="B12">
        <v>35007936</v>
      </c>
      <c r="C12">
        <v>35007474</v>
      </c>
      <c r="D12">
        <v>31703727</v>
      </c>
      <c r="E12">
        <v>1</v>
      </c>
      <c r="F12">
        <v>1</v>
      </c>
      <c r="G12">
        <v>1</v>
      </c>
      <c r="H12">
        <v>1</v>
      </c>
      <c r="I12" t="s">
        <v>293</v>
      </c>
      <c r="J12" t="s">
        <v>3</v>
      </c>
      <c r="K12" t="s">
        <v>294</v>
      </c>
      <c r="L12">
        <v>1191</v>
      </c>
      <c r="N12">
        <v>1013</v>
      </c>
      <c r="O12" t="s">
        <v>290</v>
      </c>
      <c r="P12" t="s">
        <v>290</v>
      </c>
      <c r="Q12">
        <v>1</v>
      </c>
      <c r="X12">
        <v>0.4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2</v>
      </c>
      <c r="AF12" t="s">
        <v>3</v>
      </c>
      <c r="AG12">
        <v>0.4</v>
      </c>
      <c r="AH12">
        <v>2</v>
      </c>
      <c r="AI12">
        <v>35007936</v>
      </c>
      <c r="AJ12">
        <v>15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ROW(Source!A34)</f>
        <v>34</v>
      </c>
      <c r="B13">
        <v>35007937</v>
      </c>
      <c r="C13">
        <v>35007474</v>
      </c>
      <c r="D13">
        <v>31519244</v>
      </c>
      <c r="E13">
        <v>1</v>
      </c>
      <c r="F13">
        <v>1</v>
      </c>
      <c r="G13">
        <v>1</v>
      </c>
      <c r="H13">
        <v>2</v>
      </c>
      <c r="I13" t="s">
        <v>295</v>
      </c>
      <c r="J13" t="s">
        <v>296</v>
      </c>
      <c r="K13" t="s">
        <v>297</v>
      </c>
      <c r="L13">
        <v>1368</v>
      </c>
      <c r="N13">
        <v>1011</v>
      </c>
      <c r="O13" t="s">
        <v>298</v>
      </c>
      <c r="P13" t="s">
        <v>298</v>
      </c>
      <c r="Q13">
        <v>1</v>
      </c>
      <c r="X13">
        <v>0.2</v>
      </c>
      <c r="Y13">
        <v>0</v>
      </c>
      <c r="Z13">
        <v>111.99</v>
      </c>
      <c r="AA13">
        <v>13.5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0.2</v>
      </c>
      <c r="AH13">
        <v>2</v>
      </c>
      <c r="AI13">
        <v>35007937</v>
      </c>
      <c r="AJ13">
        <v>16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35007938</v>
      </c>
      <c r="C14">
        <v>35007474</v>
      </c>
      <c r="D14">
        <v>31519376</v>
      </c>
      <c r="E14">
        <v>1</v>
      </c>
      <c r="F14">
        <v>1</v>
      </c>
      <c r="G14">
        <v>1</v>
      </c>
      <c r="H14">
        <v>2</v>
      </c>
      <c r="I14" t="s">
        <v>316</v>
      </c>
      <c r="J14" t="s">
        <v>317</v>
      </c>
      <c r="K14" t="s">
        <v>318</v>
      </c>
      <c r="L14">
        <v>1368</v>
      </c>
      <c r="N14">
        <v>1011</v>
      </c>
      <c r="O14" t="s">
        <v>298</v>
      </c>
      <c r="P14" t="s">
        <v>298</v>
      </c>
      <c r="Q14">
        <v>1</v>
      </c>
      <c r="X14">
        <v>2.2000000000000002</v>
      </c>
      <c r="Y14">
        <v>0</v>
      </c>
      <c r="Z14">
        <v>0.9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2.2000000000000002</v>
      </c>
      <c r="AH14">
        <v>2</v>
      </c>
      <c r="AI14">
        <v>35007938</v>
      </c>
      <c r="AJ14">
        <v>17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35007939</v>
      </c>
      <c r="C15">
        <v>35007474</v>
      </c>
      <c r="D15">
        <v>31519441</v>
      </c>
      <c r="E15">
        <v>1</v>
      </c>
      <c r="F15">
        <v>1</v>
      </c>
      <c r="G15">
        <v>1</v>
      </c>
      <c r="H15">
        <v>2</v>
      </c>
      <c r="I15" t="s">
        <v>319</v>
      </c>
      <c r="J15" t="s">
        <v>320</v>
      </c>
      <c r="K15" t="s">
        <v>321</v>
      </c>
      <c r="L15">
        <v>1368</v>
      </c>
      <c r="N15">
        <v>1011</v>
      </c>
      <c r="O15" t="s">
        <v>298</v>
      </c>
      <c r="P15" t="s">
        <v>298</v>
      </c>
      <c r="Q15">
        <v>1</v>
      </c>
      <c r="X15">
        <v>2.2000000000000002</v>
      </c>
      <c r="Y15">
        <v>0</v>
      </c>
      <c r="Z15">
        <v>3.28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2.2000000000000002</v>
      </c>
      <c r="AH15">
        <v>2</v>
      </c>
      <c r="AI15">
        <v>35007939</v>
      </c>
      <c r="AJ15">
        <v>18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ROW(Source!A34)</f>
        <v>34</v>
      </c>
      <c r="B16">
        <v>35007940</v>
      </c>
      <c r="C16">
        <v>35007474</v>
      </c>
      <c r="D16">
        <v>31520646</v>
      </c>
      <c r="E16">
        <v>1</v>
      </c>
      <c r="F16">
        <v>1</v>
      </c>
      <c r="G16">
        <v>1</v>
      </c>
      <c r="H16">
        <v>2</v>
      </c>
      <c r="I16" t="s">
        <v>299</v>
      </c>
      <c r="J16" t="s">
        <v>300</v>
      </c>
      <c r="K16" t="s">
        <v>301</v>
      </c>
      <c r="L16">
        <v>1368</v>
      </c>
      <c r="N16">
        <v>1011</v>
      </c>
      <c r="O16" t="s">
        <v>298</v>
      </c>
      <c r="P16" t="s">
        <v>298</v>
      </c>
      <c r="Q16">
        <v>1</v>
      </c>
      <c r="X16">
        <v>0.2</v>
      </c>
      <c r="Y16">
        <v>0</v>
      </c>
      <c r="Z16">
        <v>65.709999999999994</v>
      </c>
      <c r="AA16">
        <v>11.6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0.2</v>
      </c>
      <c r="AH16">
        <v>2</v>
      </c>
      <c r="AI16">
        <v>35007940</v>
      </c>
      <c r="AJ16">
        <v>19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ROW(Source!A34)</f>
        <v>34</v>
      </c>
      <c r="B17">
        <v>35007941</v>
      </c>
      <c r="C17">
        <v>35007474</v>
      </c>
      <c r="D17">
        <v>31438964</v>
      </c>
      <c r="E17">
        <v>1</v>
      </c>
      <c r="F17">
        <v>1</v>
      </c>
      <c r="G17">
        <v>1</v>
      </c>
      <c r="H17">
        <v>3</v>
      </c>
      <c r="I17" t="s">
        <v>322</v>
      </c>
      <c r="J17" t="s">
        <v>323</v>
      </c>
      <c r="K17" t="s">
        <v>324</v>
      </c>
      <c r="L17">
        <v>1308</v>
      </c>
      <c r="N17">
        <v>1003</v>
      </c>
      <c r="O17" t="s">
        <v>57</v>
      </c>
      <c r="P17" t="s">
        <v>57</v>
      </c>
      <c r="Q17">
        <v>100</v>
      </c>
      <c r="X17">
        <v>2.4500000000000001E-2</v>
      </c>
      <c r="Y17">
        <v>120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2.4500000000000001E-2</v>
      </c>
      <c r="AH17">
        <v>2</v>
      </c>
      <c r="AI17">
        <v>35007941</v>
      </c>
      <c r="AJ17">
        <v>20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ROW(Source!A34)</f>
        <v>34</v>
      </c>
      <c r="B18">
        <v>35007942</v>
      </c>
      <c r="C18">
        <v>35007474</v>
      </c>
      <c r="D18">
        <v>31441802</v>
      </c>
      <c r="E18">
        <v>1</v>
      </c>
      <c r="F18">
        <v>1</v>
      </c>
      <c r="G18">
        <v>1</v>
      </c>
      <c r="H18">
        <v>3</v>
      </c>
      <c r="I18" t="s">
        <v>325</v>
      </c>
      <c r="J18" t="s">
        <v>326</v>
      </c>
      <c r="K18" t="s">
        <v>327</v>
      </c>
      <c r="L18">
        <v>1348</v>
      </c>
      <c r="N18">
        <v>1009</v>
      </c>
      <c r="O18" t="s">
        <v>44</v>
      </c>
      <c r="P18" t="s">
        <v>44</v>
      </c>
      <c r="Q18">
        <v>1000</v>
      </c>
      <c r="X18">
        <v>1.1E-4</v>
      </c>
      <c r="Y18">
        <v>12430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1.1E-4</v>
      </c>
      <c r="AH18">
        <v>2</v>
      </c>
      <c r="AI18">
        <v>35007942</v>
      </c>
      <c r="AJ18">
        <v>21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ROW(Source!A34)</f>
        <v>34</v>
      </c>
      <c r="B19">
        <v>35007943</v>
      </c>
      <c r="C19">
        <v>35007474</v>
      </c>
      <c r="D19">
        <v>31466422</v>
      </c>
      <c r="E19">
        <v>1</v>
      </c>
      <c r="F19">
        <v>1</v>
      </c>
      <c r="G19">
        <v>1</v>
      </c>
      <c r="H19">
        <v>3</v>
      </c>
      <c r="I19" t="s">
        <v>328</v>
      </c>
      <c r="J19" t="s">
        <v>329</v>
      </c>
      <c r="K19" t="s">
        <v>330</v>
      </c>
      <c r="L19">
        <v>1346</v>
      </c>
      <c r="N19">
        <v>1009</v>
      </c>
      <c r="O19" t="s">
        <v>121</v>
      </c>
      <c r="P19" t="s">
        <v>121</v>
      </c>
      <c r="Q19">
        <v>1</v>
      </c>
      <c r="X19">
        <v>0.26</v>
      </c>
      <c r="Y19">
        <v>68.05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0.26</v>
      </c>
      <c r="AH19">
        <v>2</v>
      </c>
      <c r="AI19">
        <v>35007943</v>
      </c>
      <c r="AJ19">
        <v>22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ROW(Source!A34)</f>
        <v>34</v>
      </c>
      <c r="B20">
        <v>35007944</v>
      </c>
      <c r="C20">
        <v>35007474</v>
      </c>
      <c r="D20">
        <v>31475248</v>
      </c>
      <c r="E20">
        <v>1</v>
      </c>
      <c r="F20">
        <v>1</v>
      </c>
      <c r="G20">
        <v>1</v>
      </c>
      <c r="H20">
        <v>3</v>
      </c>
      <c r="I20" t="s">
        <v>331</v>
      </c>
      <c r="J20" t="s">
        <v>332</v>
      </c>
      <c r="K20" t="s">
        <v>333</v>
      </c>
      <c r="L20">
        <v>1348</v>
      </c>
      <c r="N20">
        <v>1009</v>
      </c>
      <c r="O20" t="s">
        <v>44</v>
      </c>
      <c r="P20" t="s">
        <v>44</v>
      </c>
      <c r="Q20">
        <v>1000</v>
      </c>
      <c r="X20">
        <v>7.2000000000000005E-4</v>
      </c>
      <c r="Y20">
        <v>7826.9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7.2000000000000005E-4</v>
      </c>
      <c r="AH20">
        <v>2</v>
      </c>
      <c r="AI20">
        <v>35007944</v>
      </c>
      <c r="AJ20">
        <v>23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ROW(Source!A34)</f>
        <v>34</v>
      </c>
      <c r="B21">
        <v>35007945</v>
      </c>
      <c r="C21">
        <v>35007474</v>
      </c>
      <c r="D21">
        <v>31435925</v>
      </c>
      <c r="E21">
        <v>17</v>
      </c>
      <c r="F21">
        <v>1</v>
      </c>
      <c r="G21">
        <v>1</v>
      </c>
      <c r="H21">
        <v>3</v>
      </c>
      <c r="I21" t="s">
        <v>311</v>
      </c>
      <c r="J21" t="s">
        <v>3</v>
      </c>
      <c r="K21" t="s">
        <v>312</v>
      </c>
      <c r="L21">
        <v>1374</v>
      </c>
      <c r="N21">
        <v>1013</v>
      </c>
      <c r="O21" t="s">
        <v>313</v>
      </c>
      <c r="P21" t="s">
        <v>313</v>
      </c>
      <c r="Q21">
        <v>1</v>
      </c>
      <c r="X21">
        <v>1.8</v>
      </c>
      <c r="Y21">
        <v>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1.8</v>
      </c>
      <c r="AH21">
        <v>2</v>
      </c>
      <c r="AI21">
        <v>35007945</v>
      </c>
      <c r="AJ21">
        <v>25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ROW(Source!A36)</f>
        <v>36</v>
      </c>
      <c r="B22">
        <v>35007946</v>
      </c>
      <c r="C22">
        <v>35007497</v>
      </c>
      <c r="D22">
        <v>31709886</v>
      </c>
      <c r="E22">
        <v>1</v>
      </c>
      <c r="F22">
        <v>1</v>
      </c>
      <c r="G22">
        <v>1</v>
      </c>
      <c r="H22">
        <v>1</v>
      </c>
      <c r="I22" t="s">
        <v>314</v>
      </c>
      <c r="J22" t="s">
        <v>3</v>
      </c>
      <c r="K22" t="s">
        <v>315</v>
      </c>
      <c r="L22">
        <v>1191</v>
      </c>
      <c r="N22">
        <v>1013</v>
      </c>
      <c r="O22" t="s">
        <v>290</v>
      </c>
      <c r="P22" t="s">
        <v>290</v>
      </c>
      <c r="Q22">
        <v>1</v>
      </c>
      <c r="X22">
        <v>9.33</v>
      </c>
      <c r="Y22">
        <v>0</v>
      </c>
      <c r="Z22">
        <v>0</v>
      </c>
      <c r="AA22">
        <v>0</v>
      </c>
      <c r="AB22">
        <v>9.6199999999999992</v>
      </c>
      <c r="AC22">
        <v>0</v>
      </c>
      <c r="AD22">
        <v>1</v>
      </c>
      <c r="AE22">
        <v>1</v>
      </c>
      <c r="AF22" t="s">
        <v>3</v>
      </c>
      <c r="AG22">
        <v>9.33</v>
      </c>
      <c r="AH22">
        <v>2</v>
      </c>
      <c r="AI22">
        <v>35007946</v>
      </c>
      <c r="AJ22">
        <v>26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ROW(Source!A36)</f>
        <v>36</v>
      </c>
      <c r="B23">
        <v>35007947</v>
      </c>
      <c r="C23">
        <v>35007497</v>
      </c>
      <c r="D23">
        <v>31703727</v>
      </c>
      <c r="E23">
        <v>1</v>
      </c>
      <c r="F23">
        <v>1</v>
      </c>
      <c r="G23">
        <v>1</v>
      </c>
      <c r="H23">
        <v>1</v>
      </c>
      <c r="I23" t="s">
        <v>293</v>
      </c>
      <c r="J23" t="s">
        <v>3</v>
      </c>
      <c r="K23" t="s">
        <v>294</v>
      </c>
      <c r="L23">
        <v>1191</v>
      </c>
      <c r="N23">
        <v>1013</v>
      </c>
      <c r="O23" t="s">
        <v>290</v>
      </c>
      <c r="P23" t="s">
        <v>290</v>
      </c>
      <c r="Q23">
        <v>1</v>
      </c>
      <c r="X23">
        <v>0.4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2</v>
      </c>
      <c r="AF23" t="s">
        <v>3</v>
      </c>
      <c r="AG23">
        <v>0.4</v>
      </c>
      <c r="AH23">
        <v>2</v>
      </c>
      <c r="AI23">
        <v>35007947</v>
      </c>
      <c r="AJ23">
        <v>27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ROW(Source!A36)</f>
        <v>36</v>
      </c>
      <c r="B24">
        <v>35007948</v>
      </c>
      <c r="C24">
        <v>35007497</v>
      </c>
      <c r="D24">
        <v>31519244</v>
      </c>
      <c r="E24">
        <v>1</v>
      </c>
      <c r="F24">
        <v>1</v>
      </c>
      <c r="G24">
        <v>1</v>
      </c>
      <c r="H24">
        <v>2</v>
      </c>
      <c r="I24" t="s">
        <v>295</v>
      </c>
      <c r="J24" t="s">
        <v>296</v>
      </c>
      <c r="K24" t="s">
        <v>297</v>
      </c>
      <c r="L24">
        <v>1368</v>
      </c>
      <c r="N24">
        <v>1011</v>
      </c>
      <c r="O24" t="s">
        <v>298</v>
      </c>
      <c r="P24" t="s">
        <v>298</v>
      </c>
      <c r="Q24">
        <v>1</v>
      </c>
      <c r="X24">
        <v>0.2</v>
      </c>
      <c r="Y24">
        <v>0</v>
      </c>
      <c r="Z24">
        <v>111.99</v>
      </c>
      <c r="AA24">
        <v>13.5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0.2</v>
      </c>
      <c r="AH24">
        <v>2</v>
      </c>
      <c r="AI24">
        <v>35007948</v>
      </c>
      <c r="AJ24">
        <v>28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ROW(Source!A36)</f>
        <v>36</v>
      </c>
      <c r="B25">
        <v>35007949</v>
      </c>
      <c r="C25">
        <v>35007497</v>
      </c>
      <c r="D25">
        <v>31519376</v>
      </c>
      <c r="E25">
        <v>1</v>
      </c>
      <c r="F25">
        <v>1</v>
      </c>
      <c r="G25">
        <v>1</v>
      </c>
      <c r="H25">
        <v>2</v>
      </c>
      <c r="I25" t="s">
        <v>316</v>
      </c>
      <c r="J25" t="s">
        <v>317</v>
      </c>
      <c r="K25" t="s">
        <v>318</v>
      </c>
      <c r="L25">
        <v>1368</v>
      </c>
      <c r="N25">
        <v>1011</v>
      </c>
      <c r="O25" t="s">
        <v>298</v>
      </c>
      <c r="P25" t="s">
        <v>298</v>
      </c>
      <c r="Q25">
        <v>1</v>
      </c>
      <c r="X25">
        <v>2.2000000000000002</v>
      </c>
      <c r="Y25">
        <v>0</v>
      </c>
      <c r="Z25">
        <v>0.9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2.2000000000000002</v>
      </c>
      <c r="AH25">
        <v>2</v>
      </c>
      <c r="AI25">
        <v>35007949</v>
      </c>
      <c r="AJ25">
        <v>29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ROW(Source!A36)</f>
        <v>36</v>
      </c>
      <c r="B26">
        <v>35007950</v>
      </c>
      <c r="C26">
        <v>35007497</v>
      </c>
      <c r="D26">
        <v>31519441</v>
      </c>
      <c r="E26">
        <v>1</v>
      </c>
      <c r="F26">
        <v>1</v>
      </c>
      <c r="G26">
        <v>1</v>
      </c>
      <c r="H26">
        <v>2</v>
      </c>
      <c r="I26" t="s">
        <v>319</v>
      </c>
      <c r="J26" t="s">
        <v>320</v>
      </c>
      <c r="K26" t="s">
        <v>321</v>
      </c>
      <c r="L26">
        <v>1368</v>
      </c>
      <c r="N26">
        <v>1011</v>
      </c>
      <c r="O26" t="s">
        <v>298</v>
      </c>
      <c r="P26" t="s">
        <v>298</v>
      </c>
      <c r="Q26">
        <v>1</v>
      </c>
      <c r="X26">
        <v>2.2000000000000002</v>
      </c>
      <c r="Y26">
        <v>0</v>
      </c>
      <c r="Z26">
        <v>3.28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2.2000000000000002</v>
      </c>
      <c r="AH26">
        <v>2</v>
      </c>
      <c r="AI26">
        <v>35007950</v>
      </c>
      <c r="AJ26">
        <v>30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ROW(Source!A36)</f>
        <v>36</v>
      </c>
      <c r="B27">
        <v>35007951</v>
      </c>
      <c r="C27">
        <v>35007497</v>
      </c>
      <c r="D27">
        <v>31520646</v>
      </c>
      <c r="E27">
        <v>1</v>
      </c>
      <c r="F27">
        <v>1</v>
      </c>
      <c r="G27">
        <v>1</v>
      </c>
      <c r="H27">
        <v>2</v>
      </c>
      <c r="I27" t="s">
        <v>299</v>
      </c>
      <c r="J27" t="s">
        <v>300</v>
      </c>
      <c r="K27" t="s">
        <v>301</v>
      </c>
      <c r="L27">
        <v>1368</v>
      </c>
      <c r="N27">
        <v>1011</v>
      </c>
      <c r="O27" t="s">
        <v>298</v>
      </c>
      <c r="P27" t="s">
        <v>298</v>
      </c>
      <c r="Q27">
        <v>1</v>
      </c>
      <c r="X27">
        <v>0.2</v>
      </c>
      <c r="Y27">
        <v>0</v>
      </c>
      <c r="Z27">
        <v>65.709999999999994</v>
      </c>
      <c r="AA27">
        <v>11.6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0.2</v>
      </c>
      <c r="AH27">
        <v>2</v>
      </c>
      <c r="AI27">
        <v>35007951</v>
      </c>
      <c r="AJ27">
        <v>31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ROW(Source!A36)</f>
        <v>36</v>
      </c>
      <c r="B28">
        <v>35007952</v>
      </c>
      <c r="C28">
        <v>35007497</v>
      </c>
      <c r="D28">
        <v>31438964</v>
      </c>
      <c r="E28">
        <v>1</v>
      </c>
      <c r="F28">
        <v>1</v>
      </c>
      <c r="G28">
        <v>1</v>
      </c>
      <c r="H28">
        <v>3</v>
      </c>
      <c r="I28" t="s">
        <v>322</v>
      </c>
      <c r="J28" t="s">
        <v>323</v>
      </c>
      <c r="K28" t="s">
        <v>324</v>
      </c>
      <c r="L28">
        <v>1308</v>
      </c>
      <c r="N28">
        <v>1003</v>
      </c>
      <c r="O28" t="s">
        <v>57</v>
      </c>
      <c r="P28" t="s">
        <v>57</v>
      </c>
      <c r="Q28">
        <v>100</v>
      </c>
      <c r="X28">
        <v>2.4500000000000001E-2</v>
      </c>
      <c r="Y28">
        <v>120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2.4500000000000001E-2</v>
      </c>
      <c r="AH28">
        <v>2</v>
      </c>
      <c r="AI28">
        <v>35007952</v>
      </c>
      <c r="AJ28">
        <v>32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ROW(Source!A36)</f>
        <v>36</v>
      </c>
      <c r="B29">
        <v>35007953</v>
      </c>
      <c r="C29">
        <v>35007497</v>
      </c>
      <c r="D29">
        <v>31441802</v>
      </c>
      <c r="E29">
        <v>1</v>
      </c>
      <c r="F29">
        <v>1</v>
      </c>
      <c r="G29">
        <v>1</v>
      </c>
      <c r="H29">
        <v>3</v>
      </c>
      <c r="I29" t="s">
        <v>325</v>
      </c>
      <c r="J29" t="s">
        <v>326</v>
      </c>
      <c r="K29" t="s">
        <v>327</v>
      </c>
      <c r="L29">
        <v>1348</v>
      </c>
      <c r="N29">
        <v>1009</v>
      </c>
      <c r="O29" t="s">
        <v>44</v>
      </c>
      <c r="P29" t="s">
        <v>44</v>
      </c>
      <c r="Q29">
        <v>1000</v>
      </c>
      <c r="X29">
        <v>1.1E-4</v>
      </c>
      <c r="Y29">
        <v>12430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1.1E-4</v>
      </c>
      <c r="AH29">
        <v>2</v>
      </c>
      <c r="AI29">
        <v>35007953</v>
      </c>
      <c r="AJ29">
        <v>33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ROW(Source!A36)</f>
        <v>36</v>
      </c>
      <c r="B30">
        <v>35007954</v>
      </c>
      <c r="C30">
        <v>35007497</v>
      </c>
      <c r="D30">
        <v>31466422</v>
      </c>
      <c r="E30">
        <v>1</v>
      </c>
      <c r="F30">
        <v>1</v>
      </c>
      <c r="G30">
        <v>1</v>
      </c>
      <c r="H30">
        <v>3</v>
      </c>
      <c r="I30" t="s">
        <v>328</v>
      </c>
      <c r="J30" t="s">
        <v>329</v>
      </c>
      <c r="K30" t="s">
        <v>330</v>
      </c>
      <c r="L30">
        <v>1346</v>
      </c>
      <c r="N30">
        <v>1009</v>
      </c>
      <c r="O30" t="s">
        <v>121</v>
      </c>
      <c r="P30" t="s">
        <v>121</v>
      </c>
      <c r="Q30">
        <v>1</v>
      </c>
      <c r="X30">
        <v>0.26</v>
      </c>
      <c r="Y30">
        <v>68.05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0.26</v>
      </c>
      <c r="AH30">
        <v>2</v>
      </c>
      <c r="AI30">
        <v>35007954</v>
      </c>
      <c r="AJ30">
        <v>34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ROW(Source!A36)</f>
        <v>36</v>
      </c>
      <c r="B31">
        <v>35007955</v>
      </c>
      <c r="C31">
        <v>35007497</v>
      </c>
      <c r="D31">
        <v>31475248</v>
      </c>
      <c r="E31">
        <v>1</v>
      </c>
      <c r="F31">
        <v>1</v>
      </c>
      <c r="G31">
        <v>1</v>
      </c>
      <c r="H31">
        <v>3</v>
      </c>
      <c r="I31" t="s">
        <v>331</v>
      </c>
      <c r="J31" t="s">
        <v>332</v>
      </c>
      <c r="K31" t="s">
        <v>333</v>
      </c>
      <c r="L31">
        <v>1348</v>
      </c>
      <c r="N31">
        <v>1009</v>
      </c>
      <c r="O31" t="s">
        <v>44</v>
      </c>
      <c r="P31" t="s">
        <v>44</v>
      </c>
      <c r="Q31">
        <v>1000</v>
      </c>
      <c r="X31">
        <v>7.2000000000000005E-4</v>
      </c>
      <c r="Y31">
        <v>7826.9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7.2000000000000005E-4</v>
      </c>
      <c r="AH31">
        <v>2</v>
      </c>
      <c r="AI31">
        <v>35007955</v>
      </c>
      <c r="AJ31">
        <v>35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ROW(Source!A36)</f>
        <v>36</v>
      </c>
      <c r="B32">
        <v>35007956</v>
      </c>
      <c r="C32">
        <v>35007497</v>
      </c>
      <c r="D32">
        <v>31435925</v>
      </c>
      <c r="E32">
        <v>17</v>
      </c>
      <c r="F32">
        <v>1</v>
      </c>
      <c r="G32">
        <v>1</v>
      </c>
      <c r="H32">
        <v>3</v>
      </c>
      <c r="I32" t="s">
        <v>311</v>
      </c>
      <c r="J32" t="s">
        <v>3</v>
      </c>
      <c r="K32" t="s">
        <v>312</v>
      </c>
      <c r="L32">
        <v>1374</v>
      </c>
      <c r="N32">
        <v>1013</v>
      </c>
      <c r="O32" t="s">
        <v>313</v>
      </c>
      <c r="P32" t="s">
        <v>313</v>
      </c>
      <c r="Q32">
        <v>1</v>
      </c>
      <c r="X32">
        <v>1.8</v>
      </c>
      <c r="Y32">
        <v>1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1.8</v>
      </c>
      <c r="AH32">
        <v>2</v>
      </c>
      <c r="AI32">
        <v>35007956</v>
      </c>
      <c r="AJ32">
        <v>37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ROW(Source!A38)</f>
        <v>38</v>
      </c>
      <c r="B33">
        <v>35007957</v>
      </c>
      <c r="C33">
        <v>35007522</v>
      </c>
      <c r="D33">
        <v>31709886</v>
      </c>
      <c r="E33">
        <v>1</v>
      </c>
      <c r="F33">
        <v>1</v>
      </c>
      <c r="G33">
        <v>1</v>
      </c>
      <c r="H33">
        <v>1</v>
      </c>
      <c r="I33" t="s">
        <v>314</v>
      </c>
      <c r="J33" t="s">
        <v>3</v>
      </c>
      <c r="K33" t="s">
        <v>315</v>
      </c>
      <c r="L33">
        <v>1191</v>
      </c>
      <c r="N33">
        <v>1013</v>
      </c>
      <c r="O33" t="s">
        <v>290</v>
      </c>
      <c r="P33" t="s">
        <v>290</v>
      </c>
      <c r="Q33">
        <v>1</v>
      </c>
      <c r="X33">
        <v>15.12</v>
      </c>
      <c r="Y33">
        <v>0</v>
      </c>
      <c r="Z33">
        <v>0</v>
      </c>
      <c r="AA33">
        <v>0</v>
      </c>
      <c r="AB33">
        <v>9.6199999999999992</v>
      </c>
      <c r="AC33">
        <v>0</v>
      </c>
      <c r="AD33">
        <v>1</v>
      </c>
      <c r="AE33">
        <v>1</v>
      </c>
      <c r="AF33" t="s">
        <v>3</v>
      </c>
      <c r="AG33">
        <v>15.12</v>
      </c>
      <c r="AH33">
        <v>2</v>
      </c>
      <c r="AI33">
        <v>35007957</v>
      </c>
      <c r="AJ33">
        <v>38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ROW(Source!A38)</f>
        <v>38</v>
      </c>
      <c r="B34">
        <v>35007958</v>
      </c>
      <c r="C34">
        <v>35007522</v>
      </c>
      <c r="D34">
        <v>31435925</v>
      </c>
      <c r="E34">
        <v>17</v>
      </c>
      <c r="F34">
        <v>1</v>
      </c>
      <c r="G34">
        <v>1</v>
      </c>
      <c r="H34">
        <v>3</v>
      </c>
      <c r="I34" t="s">
        <v>311</v>
      </c>
      <c r="J34" t="s">
        <v>3</v>
      </c>
      <c r="K34" t="s">
        <v>312</v>
      </c>
      <c r="L34">
        <v>1374</v>
      </c>
      <c r="N34">
        <v>1013</v>
      </c>
      <c r="O34" t="s">
        <v>313</v>
      </c>
      <c r="P34" t="s">
        <v>313</v>
      </c>
      <c r="Q34">
        <v>1</v>
      </c>
      <c r="X34">
        <v>2.91</v>
      </c>
      <c r="Y34">
        <v>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2.91</v>
      </c>
      <c r="AH34">
        <v>2</v>
      </c>
      <c r="AI34">
        <v>35007958</v>
      </c>
      <c r="AJ34">
        <v>40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ROW(Source!A40)</f>
        <v>40</v>
      </c>
      <c r="B35">
        <v>35007959</v>
      </c>
      <c r="C35">
        <v>35007529</v>
      </c>
      <c r="D35">
        <v>31703778</v>
      </c>
      <c r="E35">
        <v>1</v>
      </c>
      <c r="F35">
        <v>1</v>
      </c>
      <c r="G35">
        <v>1</v>
      </c>
      <c r="H35">
        <v>1</v>
      </c>
      <c r="I35" t="s">
        <v>334</v>
      </c>
      <c r="J35" t="s">
        <v>3</v>
      </c>
      <c r="K35" t="s">
        <v>335</v>
      </c>
      <c r="L35">
        <v>1191</v>
      </c>
      <c r="N35">
        <v>1013</v>
      </c>
      <c r="O35" t="s">
        <v>290</v>
      </c>
      <c r="P35" t="s">
        <v>290</v>
      </c>
      <c r="Q35">
        <v>1</v>
      </c>
      <c r="X35">
        <v>0.59</v>
      </c>
      <c r="Y35">
        <v>0</v>
      </c>
      <c r="Z35">
        <v>0</v>
      </c>
      <c r="AA35">
        <v>0</v>
      </c>
      <c r="AB35">
        <v>9.07</v>
      </c>
      <c r="AC35">
        <v>0</v>
      </c>
      <c r="AD35">
        <v>1</v>
      </c>
      <c r="AE35">
        <v>1</v>
      </c>
      <c r="AF35" t="s">
        <v>3</v>
      </c>
      <c r="AG35">
        <v>0.59</v>
      </c>
      <c r="AH35">
        <v>2</v>
      </c>
      <c r="AI35">
        <v>35007959</v>
      </c>
      <c r="AJ35">
        <v>41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ROW(Source!A40)</f>
        <v>40</v>
      </c>
      <c r="B36">
        <v>35007960</v>
      </c>
      <c r="C36">
        <v>35007529</v>
      </c>
      <c r="D36">
        <v>31436897</v>
      </c>
      <c r="E36">
        <v>1</v>
      </c>
      <c r="F36">
        <v>1</v>
      </c>
      <c r="G36">
        <v>1</v>
      </c>
      <c r="H36">
        <v>3</v>
      </c>
      <c r="I36" t="s">
        <v>336</v>
      </c>
      <c r="J36" t="s">
        <v>337</v>
      </c>
      <c r="K36" t="s">
        <v>338</v>
      </c>
      <c r="L36">
        <v>1346</v>
      </c>
      <c r="N36">
        <v>1009</v>
      </c>
      <c r="O36" t="s">
        <v>121</v>
      </c>
      <c r="P36" t="s">
        <v>121</v>
      </c>
      <c r="Q36">
        <v>1</v>
      </c>
      <c r="X36">
        <v>0.04</v>
      </c>
      <c r="Y36">
        <v>6.15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0.04</v>
      </c>
      <c r="AH36">
        <v>2</v>
      </c>
      <c r="AI36">
        <v>35007960</v>
      </c>
      <c r="AJ36">
        <v>42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ROW(Source!A40)</f>
        <v>40</v>
      </c>
      <c r="B37">
        <v>35007961</v>
      </c>
      <c r="C37">
        <v>35007529</v>
      </c>
      <c r="D37">
        <v>31439017</v>
      </c>
      <c r="E37">
        <v>1</v>
      </c>
      <c r="F37">
        <v>1</v>
      </c>
      <c r="G37">
        <v>1</v>
      </c>
      <c r="H37">
        <v>3</v>
      </c>
      <c r="I37" t="s">
        <v>339</v>
      </c>
      <c r="J37" t="s">
        <v>340</v>
      </c>
      <c r="K37" t="s">
        <v>341</v>
      </c>
      <c r="L37">
        <v>1308</v>
      </c>
      <c r="N37">
        <v>1003</v>
      </c>
      <c r="O37" t="s">
        <v>57</v>
      </c>
      <c r="P37" t="s">
        <v>57</v>
      </c>
      <c r="Q37">
        <v>100</v>
      </c>
      <c r="X37">
        <v>3.0000000000000001E-3</v>
      </c>
      <c r="Y37">
        <v>143.97999999999999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3.0000000000000001E-3</v>
      </c>
      <c r="AH37">
        <v>2</v>
      </c>
      <c r="AI37">
        <v>35007961</v>
      </c>
      <c r="AJ37">
        <v>43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ROW(Source!A40)</f>
        <v>40</v>
      </c>
      <c r="B38">
        <v>35007962</v>
      </c>
      <c r="C38">
        <v>35007529</v>
      </c>
      <c r="D38">
        <v>31439019</v>
      </c>
      <c r="E38">
        <v>1</v>
      </c>
      <c r="F38">
        <v>1</v>
      </c>
      <c r="G38">
        <v>1</v>
      </c>
      <c r="H38">
        <v>3</v>
      </c>
      <c r="I38" t="s">
        <v>342</v>
      </c>
      <c r="J38" t="s">
        <v>343</v>
      </c>
      <c r="K38" t="s">
        <v>344</v>
      </c>
      <c r="L38">
        <v>1308</v>
      </c>
      <c r="N38">
        <v>1003</v>
      </c>
      <c r="O38" t="s">
        <v>57</v>
      </c>
      <c r="P38" t="s">
        <v>57</v>
      </c>
      <c r="Q38">
        <v>100</v>
      </c>
      <c r="X38">
        <v>4.0000000000000001E-3</v>
      </c>
      <c r="Y38">
        <v>38.590000000000003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4.0000000000000001E-3</v>
      </c>
      <c r="AH38">
        <v>2</v>
      </c>
      <c r="AI38">
        <v>35007962</v>
      </c>
      <c r="AJ38">
        <v>44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ROW(Source!A40)</f>
        <v>40</v>
      </c>
      <c r="B39">
        <v>35007963</v>
      </c>
      <c r="C39">
        <v>35007529</v>
      </c>
      <c r="D39">
        <v>31435925</v>
      </c>
      <c r="E39">
        <v>17</v>
      </c>
      <c r="F39">
        <v>1</v>
      </c>
      <c r="G39">
        <v>1</v>
      </c>
      <c r="H39">
        <v>3</v>
      </c>
      <c r="I39" t="s">
        <v>311</v>
      </c>
      <c r="J39" t="s">
        <v>3</v>
      </c>
      <c r="K39" t="s">
        <v>312</v>
      </c>
      <c r="L39">
        <v>1374</v>
      </c>
      <c r="N39">
        <v>1013</v>
      </c>
      <c r="O39" t="s">
        <v>313</v>
      </c>
      <c r="P39" t="s">
        <v>313</v>
      </c>
      <c r="Q39">
        <v>1</v>
      </c>
      <c r="X39">
        <v>0.11</v>
      </c>
      <c r="Y39">
        <v>1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0.11</v>
      </c>
      <c r="AH39">
        <v>2</v>
      </c>
      <c r="AI39">
        <v>35007963</v>
      </c>
      <c r="AJ39">
        <v>46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ROW(Source!A42)</f>
        <v>42</v>
      </c>
      <c r="B40">
        <v>35007964</v>
      </c>
      <c r="C40">
        <v>35007549</v>
      </c>
      <c r="D40">
        <v>31709886</v>
      </c>
      <c r="E40">
        <v>1</v>
      </c>
      <c r="F40">
        <v>1</v>
      </c>
      <c r="G40">
        <v>1</v>
      </c>
      <c r="H40">
        <v>1</v>
      </c>
      <c r="I40" t="s">
        <v>314</v>
      </c>
      <c r="J40" t="s">
        <v>3</v>
      </c>
      <c r="K40" t="s">
        <v>315</v>
      </c>
      <c r="L40">
        <v>1191</v>
      </c>
      <c r="N40">
        <v>1013</v>
      </c>
      <c r="O40" t="s">
        <v>290</v>
      </c>
      <c r="P40" t="s">
        <v>290</v>
      </c>
      <c r="Q40">
        <v>1</v>
      </c>
      <c r="X40">
        <v>30.4</v>
      </c>
      <c r="Y40">
        <v>0</v>
      </c>
      <c r="Z40">
        <v>0</v>
      </c>
      <c r="AA40">
        <v>0</v>
      </c>
      <c r="AB40">
        <v>9.6199999999999992</v>
      </c>
      <c r="AC40">
        <v>0</v>
      </c>
      <c r="AD40">
        <v>1</v>
      </c>
      <c r="AE40">
        <v>1</v>
      </c>
      <c r="AF40" t="s">
        <v>3</v>
      </c>
      <c r="AG40">
        <v>30.4</v>
      </c>
      <c r="AH40">
        <v>2</v>
      </c>
      <c r="AI40">
        <v>35007964</v>
      </c>
      <c r="AJ40">
        <v>47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ROW(Source!A42)</f>
        <v>42</v>
      </c>
      <c r="B41">
        <v>35007965</v>
      </c>
      <c r="C41">
        <v>35007549</v>
      </c>
      <c r="D41">
        <v>31435925</v>
      </c>
      <c r="E41">
        <v>17</v>
      </c>
      <c r="F41">
        <v>1</v>
      </c>
      <c r="G41">
        <v>1</v>
      </c>
      <c r="H41">
        <v>3</v>
      </c>
      <c r="I41" t="s">
        <v>311</v>
      </c>
      <c r="J41" t="s">
        <v>3</v>
      </c>
      <c r="K41" t="s">
        <v>312</v>
      </c>
      <c r="L41">
        <v>1374</v>
      </c>
      <c r="N41">
        <v>1013</v>
      </c>
      <c r="O41" t="s">
        <v>313</v>
      </c>
      <c r="P41" t="s">
        <v>313</v>
      </c>
      <c r="Q41">
        <v>1</v>
      </c>
      <c r="X41">
        <v>5.85</v>
      </c>
      <c r="Y41">
        <v>1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5.85</v>
      </c>
      <c r="AH41">
        <v>2</v>
      </c>
      <c r="AI41">
        <v>35007965</v>
      </c>
      <c r="AJ41">
        <v>49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ROW(Source!A44)</f>
        <v>44</v>
      </c>
      <c r="B42">
        <v>35007966</v>
      </c>
      <c r="C42">
        <v>35007556</v>
      </c>
      <c r="D42">
        <v>31709886</v>
      </c>
      <c r="E42">
        <v>1</v>
      </c>
      <c r="F42">
        <v>1</v>
      </c>
      <c r="G42">
        <v>1</v>
      </c>
      <c r="H42">
        <v>1</v>
      </c>
      <c r="I42" t="s">
        <v>314</v>
      </c>
      <c r="J42" t="s">
        <v>3</v>
      </c>
      <c r="K42" t="s">
        <v>315</v>
      </c>
      <c r="L42">
        <v>1191</v>
      </c>
      <c r="N42">
        <v>1013</v>
      </c>
      <c r="O42" t="s">
        <v>290</v>
      </c>
      <c r="P42" t="s">
        <v>290</v>
      </c>
      <c r="Q42">
        <v>1</v>
      </c>
      <c r="X42">
        <v>46.4</v>
      </c>
      <c r="Y42">
        <v>0</v>
      </c>
      <c r="Z42">
        <v>0</v>
      </c>
      <c r="AA42">
        <v>0</v>
      </c>
      <c r="AB42">
        <v>9.6199999999999992</v>
      </c>
      <c r="AC42">
        <v>0</v>
      </c>
      <c r="AD42">
        <v>1</v>
      </c>
      <c r="AE42">
        <v>1</v>
      </c>
      <c r="AF42" t="s">
        <v>3</v>
      </c>
      <c r="AG42">
        <v>46.4</v>
      </c>
      <c r="AH42">
        <v>2</v>
      </c>
      <c r="AI42">
        <v>35007966</v>
      </c>
      <c r="AJ42">
        <v>50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ROW(Source!A44)</f>
        <v>44</v>
      </c>
      <c r="B43">
        <v>35007967</v>
      </c>
      <c r="C43">
        <v>35007556</v>
      </c>
      <c r="D43">
        <v>31435925</v>
      </c>
      <c r="E43">
        <v>17</v>
      </c>
      <c r="F43">
        <v>1</v>
      </c>
      <c r="G43">
        <v>1</v>
      </c>
      <c r="H43">
        <v>3</v>
      </c>
      <c r="I43" t="s">
        <v>311</v>
      </c>
      <c r="J43" t="s">
        <v>3</v>
      </c>
      <c r="K43" t="s">
        <v>312</v>
      </c>
      <c r="L43">
        <v>1374</v>
      </c>
      <c r="N43">
        <v>1013</v>
      </c>
      <c r="O43" t="s">
        <v>313</v>
      </c>
      <c r="P43" t="s">
        <v>313</v>
      </c>
      <c r="Q43">
        <v>1</v>
      </c>
      <c r="X43">
        <v>8.93</v>
      </c>
      <c r="Y43">
        <v>1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8.93</v>
      </c>
      <c r="AH43">
        <v>2</v>
      </c>
      <c r="AI43">
        <v>35007967</v>
      </c>
      <c r="AJ43">
        <v>52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ROW(Source!A46)</f>
        <v>46</v>
      </c>
      <c r="B44">
        <v>35007968</v>
      </c>
      <c r="C44">
        <v>35007563</v>
      </c>
      <c r="D44">
        <v>31709886</v>
      </c>
      <c r="E44">
        <v>1</v>
      </c>
      <c r="F44">
        <v>1</v>
      </c>
      <c r="G44">
        <v>1</v>
      </c>
      <c r="H44">
        <v>1</v>
      </c>
      <c r="I44" t="s">
        <v>314</v>
      </c>
      <c r="J44" t="s">
        <v>3</v>
      </c>
      <c r="K44" t="s">
        <v>315</v>
      </c>
      <c r="L44">
        <v>1191</v>
      </c>
      <c r="N44">
        <v>1013</v>
      </c>
      <c r="O44" t="s">
        <v>290</v>
      </c>
      <c r="P44" t="s">
        <v>290</v>
      </c>
      <c r="Q44">
        <v>1</v>
      </c>
      <c r="X44">
        <v>5.53</v>
      </c>
      <c r="Y44">
        <v>0</v>
      </c>
      <c r="Z44">
        <v>0</v>
      </c>
      <c r="AA44">
        <v>0</v>
      </c>
      <c r="AB44">
        <v>9.6199999999999992</v>
      </c>
      <c r="AC44">
        <v>0</v>
      </c>
      <c r="AD44">
        <v>1</v>
      </c>
      <c r="AE44">
        <v>1</v>
      </c>
      <c r="AF44" t="s">
        <v>3</v>
      </c>
      <c r="AG44">
        <v>5.53</v>
      </c>
      <c r="AH44">
        <v>2</v>
      </c>
      <c r="AI44">
        <v>35007968</v>
      </c>
      <c r="AJ44">
        <v>53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ROW(Source!A46)</f>
        <v>46</v>
      </c>
      <c r="B45">
        <v>35007969</v>
      </c>
      <c r="C45">
        <v>35007563</v>
      </c>
      <c r="D45">
        <v>31703727</v>
      </c>
      <c r="E45">
        <v>1</v>
      </c>
      <c r="F45">
        <v>1</v>
      </c>
      <c r="G45">
        <v>1</v>
      </c>
      <c r="H45">
        <v>1</v>
      </c>
      <c r="I45" t="s">
        <v>293</v>
      </c>
      <c r="J45" t="s">
        <v>3</v>
      </c>
      <c r="K45" t="s">
        <v>294</v>
      </c>
      <c r="L45">
        <v>1191</v>
      </c>
      <c r="N45">
        <v>1013</v>
      </c>
      <c r="O45" t="s">
        <v>290</v>
      </c>
      <c r="P45" t="s">
        <v>290</v>
      </c>
      <c r="Q45">
        <v>1</v>
      </c>
      <c r="X45">
        <v>0.02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2</v>
      </c>
      <c r="AF45" t="s">
        <v>3</v>
      </c>
      <c r="AG45">
        <v>0.02</v>
      </c>
      <c r="AH45">
        <v>2</v>
      </c>
      <c r="AI45">
        <v>35007969</v>
      </c>
      <c r="AJ45">
        <v>54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ROW(Source!A46)</f>
        <v>46</v>
      </c>
      <c r="B46">
        <v>35007970</v>
      </c>
      <c r="C46">
        <v>35007563</v>
      </c>
      <c r="D46">
        <v>31519244</v>
      </c>
      <c r="E46">
        <v>1</v>
      </c>
      <c r="F46">
        <v>1</v>
      </c>
      <c r="G46">
        <v>1</v>
      </c>
      <c r="H46">
        <v>2</v>
      </c>
      <c r="I46" t="s">
        <v>295</v>
      </c>
      <c r="J46" t="s">
        <v>296</v>
      </c>
      <c r="K46" t="s">
        <v>297</v>
      </c>
      <c r="L46">
        <v>1368</v>
      </c>
      <c r="N46">
        <v>1011</v>
      </c>
      <c r="O46" t="s">
        <v>298</v>
      </c>
      <c r="P46" t="s">
        <v>298</v>
      </c>
      <c r="Q46">
        <v>1</v>
      </c>
      <c r="X46">
        <v>0.01</v>
      </c>
      <c r="Y46">
        <v>0</v>
      </c>
      <c r="Z46">
        <v>111.99</v>
      </c>
      <c r="AA46">
        <v>13.5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0.01</v>
      </c>
      <c r="AH46">
        <v>2</v>
      </c>
      <c r="AI46">
        <v>35007970</v>
      </c>
      <c r="AJ46">
        <v>55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ROW(Source!A46)</f>
        <v>46</v>
      </c>
      <c r="B47">
        <v>35007971</v>
      </c>
      <c r="C47">
        <v>35007563</v>
      </c>
      <c r="D47">
        <v>31520646</v>
      </c>
      <c r="E47">
        <v>1</v>
      </c>
      <c r="F47">
        <v>1</v>
      </c>
      <c r="G47">
        <v>1</v>
      </c>
      <c r="H47">
        <v>2</v>
      </c>
      <c r="I47" t="s">
        <v>299</v>
      </c>
      <c r="J47" t="s">
        <v>300</v>
      </c>
      <c r="K47" t="s">
        <v>301</v>
      </c>
      <c r="L47">
        <v>1368</v>
      </c>
      <c r="N47">
        <v>1011</v>
      </c>
      <c r="O47" t="s">
        <v>298</v>
      </c>
      <c r="P47" t="s">
        <v>298</v>
      </c>
      <c r="Q47">
        <v>1</v>
      </c>
      <c r="X47">
        <v>0.01</v>
      </c>
      <c r="Y47">
        <v>0</v>
      </c>
      <c r="Z47">
        <v>65.709999999999994</v>
      </c>
      <c r="AA47">
        <v>11.6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0.01</v>
      </c>
      <c r="AH47">
        <v>2</v>
      </c>
      <c r="AI47">
        <v>35007971</v>
      </c>
      <c r="AJ47">
        <v>56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ROW(Source!A46)</f>
        <v>46</v>
      </c>
      <c r="B48">
        <v>35007972</v>
      </c>
      <c r="C48">
        <v>35007563</v>
      </c>
      <c r="D48">
        <v>31436888</v>
      </c>
      <c r="E48">
        <v>1</v>
      </c>
      <c r="F48">
        <v>1</v>
      </c>
      <c r="G48">
        <v>1</v>
      </c>
      <c r="H48">
        <v>3</v>
      </c>
      <c r="I48" t="s">
        <v>345</v>
      </c>
      <c r="J48" t="s">
        <v>346</v>
      </c>
      <c r="K48" t="s">
        <v>347</v>
      </c>
      <c r="L48">
        <v>1348</v>
      </c>
      <c r="N48">
        <v>1009</v>
      </c>
      <c r="O48" t="s">
        <v>44</v>
      </c>
      <c r="P48" t="s">
        <v>44</v>
      </c>
      <c r="Q48">
        <v>1000</v>
      </c>
      <c r="X48">
        <v>8.0000000000000004E-4</v>
      </c>
      <c r="Y48">
        <v>4488.3999999999996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8.0000000000000004E-4</v>
      </c>
      <c r="AH48">
        <v>2</v>
      </c>
      <c r="AI48">
        <v>35007972</v>
      </c>
      <c r="AJ48">
        <v>57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ROW(Source!A46)</f>
        <v>46</v>
      </c>
      <c r="B49">
        <v>35007973</v>
      </c>
      <c r="C49">
        <v>35007563</v>
      </c>
      <c r="D49">
        <v>31436924</v>
      </c>
      <c r="E49">
        <v>1</v>
      </c>
      <c r="F49">
        <v>1</v>
      </c>
      <c r="G49">
        <v>1</v>
      </c>
      <c r="H49">
        <v>3</v>
      </c>
      <c r="I49" t="s">
        <v>348</v>
      </c>
      <c r="J49" t="s">
        <v>349</v>
      </c>
      <c r="K49" t="s">
        <v>350</v>
      </c>
      <c r="L49">
        <v>1348</v>
      </c>
      <c r="N49">
        <v>1009</v>
      </c>
      <c r="O49" t="s">
        <v>44</v>
      </c>
      <c r="P49" t="s">
        <v>44</v>
      </c>
      <c r="Q49">
        <v>1000</v>
      </c>
      <c r="X49">
        <v>2.0000000000000002E-5</v>
      </c>
      <c r="Y49">
        <v>8105.71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2.0000000000000002E-5</v>
      </c>
      <c r="AH49">
        <v>2</v>
      </c>
      <c r="AI49">
        <v>35007973</v>
      </c>
      <c r="AJ49">
        <v>58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ROW(Source!A46)</f>
        <v>46</v>
      </c>
      <c r="B50">
        <v>35007974</v>
      </c>
      <c r="C50">
        <v>35007563</v>
      </c>
      <c r="D50">
        <v>31438964</v>
      </c>
      <c r="E50">
        <v>1</v>
      </c>
      <c r="F50">
        <v>1</v>
      </c>
      <c r="G50">
        <v>1</v>
      </c>
      <c r="H50">
        <v>3</v>
      </c>
      <c r="I50" t="s">
        <v>322</v>
      </c>
      <c r="J50" t="s">
        <v>323</v>
      </c>
      <c r="K50" t="s">
        <v>324</v>
      </c>
      <c r="L50">
        <v>1308</v>
      </c>
      <c r="N50">
        <v>1003</v>
      </c>
      <c r="O50" t="s">
        <v>57</v>
      </c>
      <c r="P50" t="s">
        <v>57</v>
      </c>
      <c r="Q50">
        <v>100</v>
      </c>
      <c r="X50">
        <v>2.3999999999999998E-3</v>
      </c>
      <c r="Y50">
        <v>120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2.3999999999999998E-3</v>
      </c>
      <c r="AH50">
        <v>2</v>
      </c>
      <c r="AI50">
        <v>35007974</v>
      </c>
      <c r="AJ50">
        <v>59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ROW(Source!A46)</f>
        <v>46</v>
      </c>
      <c r="B51">
        <v>35007975</v>
      </c>
      <c r="C51">
        <v>35007563</v>
      </c>
      <c r="D51">
        <v>31488992</v>
      </c>
      <c r="E51">
        <v>1</v>
      </c>
      <c r="F51">
        <v>1</v>
      </c>
      <c r="G51">
        <v>1</v>
      </c>
      <c r="H51">
        <v>3</v>
      </c>
      <c r="I51" t="s">
        <v>351</v>
      </c>
      <c r="J51" t="s">
        <v>352</v>
      </c>
      <c r="K51" t="s">
        <v>353</v>
      </c>
      <c r="L51">
        <v>1355</v>
      </c>
      <c r="N51">
        <v>1010</v>
      </c>
      <c r="O51" t="s">
        <v>78</v>
      </c>
      <c r="P51" t="s">
        <v>78</v>
      </c>
      <c r="Q51">
        <v>100</v>
      </c>
      <c r="X51">
        <v>3.1E-2</v>
      </c>
      <c r="Y51">
        <v>378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3.1E-2</v>
      </c>
      <c r="AH51">
        <v>2</v>
      </c>
      <c r="AI51">
        <v>35007975</v>
      </c>
      <c r="AJ51">
        <v>60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ROW(Source!A46)</f>
        <v>46</v>
      </c>
      <c r="B52">
        <v>35007976</v>
      </c>
      <c r="C52">
        <v>35007563</v>
      </c>
      <c r="D52">
        <v>31435925</v>
      </c>
      <c r="E52">
        <v>17</v>
      </c>
      <c r="F52">
        <v>1</v>
      </c>
      <c r="G52">
        <v>1</v>
      </c>
      <c r="H52">
        <v>3</v>
      </c>
      <c r="I52" t="s">
        <v>311</v>
      </c>
      <c r="J52" t="s">
        <v>3</v>
      </c>
      <c r="K52" t="s">
        <v>312</v>
      </c>
      <c r="L52">
        <v>1374</v>
      </c>
      <c r="N52">
        <v>1013</v>
      </c>
      <c r="O52" t="s">
        <v>313</v>
      </c>
      <c r="P52" t="s">
        <v>313</v>
      </c>
      <c r="Q52">
        <v>1</v>
      </c>
      <c r="X52">
        <v>1.06</v>
      </c>
      <c r="Y52">
        <v>1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1.06</v>
      </c>
      <c r="AH52">
        <v>2</v>
      </c>
      <c r="AI52">
        <v>35007976</v>
      </c>
      <c r="AJ52">
        <v>61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ROW(Source!A48)</f>
        <v>48</v>
      </c>
      <c r="B53">
        <v>35007977</v>
      </c>
      <c r="C53">
        <v>35007584</v>
      </c>
      <c r="D53">
        <v>31703778</v>
      </c>
      <c r="E53">
        <v>1</v>
      </c>
      <c r="F53">
        <v>1</v>
      </c>
      <c r="G53">
        <v>1</v>
      </c>
      <c r="H53">
        <v>1</v>
      </c>
      <c r="I53" t="s">
        <v>334</v>
      </c>
      <c r="J53" t="s">
        <v>3</v>
      </c>
      <c r="K53" t="s">
        <v>335</v>
      </c>
      <c r="L53">
        <v>1191</v>
      </c>
      <c r="N53">
        <v>1013</v>
      </c>
      <c r="O53" t="s">
        <v>290</v>
      </c>
      <c r="P53" t="s">
        <v>290</v>
      </c>
      <c r="Q53">
        <v>1</v>
      </c>
      <c r="X53">
        <v>62.41</v>
      </c>
      <c r="Y53">
        <v>0</v>
      </c>
      <c r="Z53">
        <v>0</v>
      </c>
      <c r="AA53">
        <v>0</v>
      </c>
      <c r="AB53">
        <v>9.07</v>
      </c>
      <c r="AC53">
        <v>0</v>
      </c>
      <c r="AD53">
        <v>1</v>
      </c>
      <c r="AE53">
        <v>1</v>
      </c>
      <c r="AF53" t="s">
        <v>3</v>
      </c>
      <c r="AG53">
        <v>62.41</v>
      </c>
      <c r="AH53">
        <v>2</v>
      </c>
      <c r="AI53">
        <v>35007977</v>
      </c>
      <c r="AJ53">
        <v>63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ROW(Source!A48)</f>
        <v>48</v>
      </c>
      <c r="B54">
        <v>35007978</v>
      </c>
      <c r="C54">
        <v>35007584</v>
      </c>
      <c r="D54">
        <v>31703727</v>
      </c>
      <c r="E54">
        <v>1</v>
      </c>
      <c r="F54">
        <v>1</v>
      </c>
      <c r="G54">
        <v>1</v>
      </c>
      <c r="H54">
        <v>1</v>
      </c>
      <c r="I54" t="s">
        <v>293</v>
      </c>
      <c r="J54" t="s">
        <v>3</v>
      </c>
      <c r="K54" t="s">
        <v>294</v>
      </c>
      <c r="L54">
        <v>1191</v>
      </c>
      <c r="N54">
        <v>1013</v>
      </c>
      <c r="O54" t="s">
        <v>290</v>
      </c>
      <c r="P54" t="s">
        <v>290</v>
      </c>
      <c r="Q54">
        <v>1</v>
      </c>
      <c r="X54">
        <v>0.26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2</v>
      </c>
      <c r="AF54" t="s">
        <v>3</v>
      </c>
      <c r="AG54">
        <v>0.26</v>
      </c>
      <c r="AH54">
        <v>2</v>
      </c>
      <c r="AI54">
        <v>35007978</v>
      </c>
      <c r="AJ54">
        <v>64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ROW(Source!A48)</f>
        <v>48</v>
      </c>
      <c r="B55">
        <v>35007979</v>
      </c>
      <c r="C55">
        <v>35007584</v>
      </c>
      <c r="D55">
        <v>31520646</v>
      </c>
      <c r="E55">
        <v>1</v>
      </c>
      <c r="F55">
        <v>1</v>
      </c>
      <c r="G55">
        <v>1</v>
      </c>
      <c r="H55">
        <v>2</v>
      </c>
      <c r="I55" t="s">
        <v>299</v>
      </c>
      <c r="J55" t="s">
        <v>300</v>
      </c>
      <c r="K55" t="s">
        <v>301</v>
      </c>
      <c r="L55">
        <v>1368</v>
      </c>
      <c r="N55">
        <v>1011</v>
      </c>
      <c r="O55" t="s">
        <v>298</v>
      </c>
      <c r="P55" t="s">
        <v>298</v>
      </c>
      <c r="Q55">
        <v>1</v>
      </c>
      <c r="X55">
        <v>0.26</v>
      </c>
      <c r="Y55">
        <v>0</v>
      </c>
      <c r="Z55">
        <v>65.709999999999994</v>
      </c>
      <c r="AA55">
        <v>11.6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0.26</v>
      </c>
      <c r="AH55">
        <v>2</v>
      </c>
      <c r="AI55">
        <v>35007979</v>
      </c>
      <c r="AJ55">
        <v>65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ROW(Source!A48)</f>
        <v>48</v>
      </c>
      <c r="B56">
        <v>35007980</v>
      </c>
      <c r="C56">
        <v>35007584</v>
      </c>
      <c r="D56">
        <v>31521546</v>
      </c>
      <c r="E56">
        <v>1</v>
      </c>
      <c r="F56">
        <v>1</v>
      </c>
      <c r="G56">
        <v>1</v>
      </c>
      <c r="H56">
        <v>2</v>
      </c>
      <c r="I56" t="s">
        <v>354</v>
      </c>
      <c r="J56" t="s">
        <v>355</v>
      </c>
      <c r="K56" t="s">
        <v>356</v>
      </c>
      <c r="L56">
        <v>1368</v>
      </c>
      <c r="N56">
        <v>1011</v>
      </c>
      <c r="O56" t="s">
        <v>298</v>
      </c>
      <c r="P56" t="s">
        <v>298</v>
      </c>
      <c r="Q56">
        <v>1</v>
      </c>
      <c r="X56">
        <v>25.2</v>
      </c>
      <c r="Y56">
        <v>0</v>
      </c>
      <c r="Z56">
        <v>6.82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25.2</v>
      </c>
      <c r="AH56">
        <v>2</v>
      </c>
      <c r="AI56">
        <v>35007980</v>
      </c>
      <c r="AJ56">
        <v>66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ROW(Source!A48)</f>
        <v>48</v>
      </c>
      <c r="B57">
        <v>35007981</v>
      </c>
      <c r="C57">
        <v>35007584</v>
      </c>
      <c r="D57">
        <v>31438650</v>
      </c>
      <c r="E57">
        <v>1</v>
      </c>
      <c r="F57">
        <v>1</v>
      </c>
      <c r="G57">
        <v>1</v>
      </c>
      <c r="H57">
        <v>3</v>
      </c>
      <c r="I57" t="s">
        <v>357</v>
      </c>
      <c r="J57" t="s">
        <v>358</v>
      </c>
      <c r="K57" t="s">
        <v>359</v>
      </c>
      <c r="L57">
        <v>1339</v>
      </c>
      <c r="N57">
        <v>1007</v>
      </c>
      <c r="O57" t="s">
        <v>31</v>
      </c>
      <c r="P57" t="s">
        <v>31</v>
      </c>
      <c r="Q57">
        <v>1</v>
      </c>
      <c r="X57">
        <v>0.21</v>
      </c>
      <c r="Y57">
        <v>2.44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0.21</v>
      </c>
      <c r="AH57">
        <v>2</v>
      </c>
      <c r="AI57">
        <v>35007981</v>
      </c>
      <c r="AJ57">
        <v>67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ROW(Source!A48)</f>
        <v>48</v>
      </c>
      <c r="B58">
        <v>35007982</v>
      </c>
      <c r="C58">
        <v>35007584</v>
      </c>
      <c r="D58">
        <v>31439130</v>
      </c>
      <c r="E58">
        <v>1</v>
      </c>
      <c r="F58">
        <v>1</v>
      </c>
      <c r="G58">
        <v>1</v>
      </c>
      <c r="H58">
        <v>3</v>
      </c>
      <c r="I58" t="s">
        <v>360</v>
      </c>
      <c r="J58" t="s">
        <v>361</v>
      </c>
      <c r="K58" t="s">
        <v>362</v>
      </c>
      <c r="L58">
        <v>1354</v>
      </c>
      <c r="N58">
        <v>1010</v>
      </c>
      <c r="O58" t="s">
        <v>52</v>
      </c>
      <c r="P58" t="s">
        <v>52</v>
      </c>
      <c r="Q58">
        <v>1</v>
      </c>
      <c r="X58">
        <v>10</v>
      </c>
      <c r="Y58">
        <v>4.5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10</v>
      </c>
      <c r="AH58">
        <v>2</v>
      </c>
      <c r="AI58">
        <v>35007982</v>
      </c>
      <c r="AJ58">
        <v>68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ROW(Source!A48)</f>
        <v>48</v>
      </c>
      <c r="B59">
        <v>35007983</v>
      </c>
      <c r="C59">
        <v>35007584</v>
      </c>
      <c r="D59">
        <v>31442382</v>
      </c>
      <c r="E59">
        <v>1</v>
      </c>
      <c r="F59">
        <v>1</v>
      </c>
      <c r="G59">
        <v>1</v>
      </c>
      <c r="H59">
        <v>3</v>
      </c>
      <c r="I59" t="s">
        <v>363</v>
      </c>
      <c r="J59" t="s">
        <v>364</v>
      </c>
      <c r="K59" t="s">
        <v>365</v>
      </c>
      <c r="L59">
        <v>1346</v>
      </c>
      <c r="N59">
        <v>1009</v>
      </c>
      <c r="O59" t="s">
        <v>121</v>
      </c>
      <c r="P59" t="s">
        <v>121</v>
      </c>
      <c r="Q59">
        <v>1</v>
      </c>
      <c r="X59">
        <v>10</v>
      </c>
      <c r="Y59">
        <v>1.82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10</v>
      </c>
      <c r="AH59">
        <v>2</v>
      </c>
      <c r="AI59">
        <v>35007983</v>
      </c>
      <c r="AJ59">
        <v>69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ROW(Source!A48)</f>
        <v>48</v>
      </c>
      <c r="B60">
        <v>35007984</v>
      </c>
      <c r="C60">
        <v>35007584</v>
      </c>
      <c r="D60">
        <v>31435101</v>
      </c>
      <c r="E60">
        <v>17</v>
      </c>
      <c r="F60">
        <v>1</v>
      </c>
      <c r="G60">
        <v>1</v>
      </c>
      <c r="H60">
        <v>3</v>
      </c>
      <c r="I60" t="s">
        <v>372</v>
      </c>
      <c r="J60" t="s">
        <v>3</v>
      </c>
      <c r="K60" t="s">
        <v>373</v>
      </c>
      <c r="L60">
        <v>1348</v>
      </c>
      <c r="N60">
        <v>1009</v>
      </c>
      <c r="O60" t="s">
        <v>44</v>
      </c>
      <c r="P60" t="s">
        <v>44</v>
      </c>
      <c r="Q60">
        <v>1000</v>
      </c>
      <c r="X60">
        <v>0.15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3</v>
      </c>
      <c r="AG60">
        <v>0.15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ROW(Source!A50)</f>
        <v>50</v>
      </c>
      <c r="B61">
        <v>35007986</v>
      </c>
      <c r="C61">
        <v>35007602</v>
      </c>
      <c r="D61">
        <v>31709886</v>
      </c>
      <c r="E61">
        <v>1</v>
      </c>
      <c r="F61">
        <v>1</v>
      </c>
      <c r="G61">
        <v>1</v>
      </c>
      <c r="H61">
        <v>1</v>
      </c>
      <c r="I61" t="s">
        <v>314</v>
      </c>
      <c r="J61" t="s">
        <v>3</v>
      </c>
      <c r="K61" t="s">
        <v>315</v>
      </c>
      <c r="L61">
        <v>1191</v>
      </c>
      <c r="N61">
        <v>1013</v>
      </c>
      <c r="O61" t="s">
        <v>290</v>
      </c>
      <c r="P61" t="s">
        <v>290</v>
      </c>
      <c r="Q61">
        <v>1</v>
      </c>
      <c r="X61">
        <v>30.4</v>
      </c>
      <c r="Y61">
        <v>0</v>
      </c>
      <c r="Z61">
        <v>0</v>
      </c>
      <c r="AA61">
        <v>0</v>
      </c>
      <c r="AB61">
        <v>9.6199999999999992</v>
      </c>
      <c r="AC61">
        <v>0</v>
      </c>
      <c r="AD61">
        <v>1</v>
      </c>
      <c r="AE61">
        <v>1</v>
      </c>
      <c r="AF61" t="s">
        <v>126</v>
      </c>
      <c r="AG61">
        <v>21.279999999999998</v>
      </c>
      <c r="AH61">
        <v>2</v>
      </c>
      <c r="AI61">
        <v>35007986</v>
      </c>
      <c r="AJ61">
        <v>71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ROW(Source!A50)</f>
        <v>50</v>
      </c>
      <c r="B62">
        <v>35007987</v>
      </c>
      <c r="C62">
        <v>35007602</v>
      </c>
      <c r="D62">
        <v>31435925</v>
      </c>
      <c r="E62">
        <v>17</v>
      </c>
      <c r="F62">
        <v>1</v>
      </c>
      <c r="G62">
        <v>1</v>
      </c>
      <c r="H62">
        <v>3</v>
      </c>
      <c r="I62" t="s">
        <v>311</v>
      </c>
      <c r="J62" t="s">
        <v>3</v>
      </c>
      <c r="K62" t="s">
        <v>312</v>
      </c>
      <c r="L62">
        <v>1374</v>
      </c>
      <c r="N62">
        <v>1013</v>
      </c>
      <c r="O62" t="s">
        <v>313</v>
      </c>
      <c r="P62" t="s">
        <v>313</v>
      </c>
      <c r="Q62">
        <v>1</v>
      </c>
      <c r="X62">
        <v>5.85</v>
      </c>
      <c r="Y62">
        <v>1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125</v>
      </c>
      <c r="AG62">
        <v>0</v>
      </c>
      <c r="AH62">
        <v>2</v>
      </c>
      <c r="AI62">
        <v>35007987</v>
      </c>
      <c r="AJ62">
        <v>72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ROW(Source!A85)</f>
        <v>85</v>
      </c>
      <c r="B63">
        <v>35007988</v>
      </c>
      <c r="C63">
        <v>35007661</v>
      </c>
      <c r="D63">
        <v>31709886</v>
      </c>
      <c r="E63">
        <v>1</v>
      </c>
      <c r="F63">
        <v>1</v>
      </c>
      <c r="G63">
        <v>1</v>
      </c>
      <c r="H63">
        <v>1</v>
      </c>
      <c r="I63" t="s">
        <v>314</v>
      </c>
      <c r="J63" t="s">
        <v>3</v>
      </c>
      <c r="K63" t="s">
        <v>315</v>
      </c>
      <c r="L63">
        <v>1191</v>
      </c>
      <c r="N63">
        <v>1013</v>
      </c>
      <c r="O63" t="s">
        <v>290</v>
      </c>
      <c r="P63" t="s">
        <v>290</v>
      </c>
      <c r="Q63">
        <v>1</v>
      </c>
      <c r="X63">
        <v>22.72</v>
      </c>
      <c r="Y63">
        <v>0</v>
      </c>
      <c r="Z63">
        <v>0</v>
      </c>
      <c r="AA63">
        <v>0</v>
      </c>
      <c r="AB63">
        <v>9.6199999999999992</v>
      </c>
      <c r="AC63">
        <v>0</v>
      </c>
      <c r="AD63">
        <v>1</v>
      </c>
      <c r="AE63">
        <v>1</v>
      </c>
      <c r="AF63" t="s">
        <v>3</v>
      </c>
      <c r="AG63">
        <v>22.72</v>
      </c>
      <c r="AH63">
        <v>2</v>
      </c>
      <c r="AI63">
        <v>35007988</v>
      </c>
      <c r="AJ63">
        <v>73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ROW(Source!A85)</f>
        <v>85</v>
      </c>
      <c r="B64">
        <v>35007989</v>
      </c>
      <c r="C64">
        <v>35007661</v>
      </c>
      <c r="D64">
        <v>31435925</v>
      </c>
      <c r="E64">
        <v>17</v>
      </c>
      <c r="F64">
        <v>1</v>
      </c>
      <c r="G64">
        <v>1</v>
      </c>
      <c r="H64">
        <v>3</v>
      </c>
      <c r="I64" t="s">
        <v>311</v>
      </c>
      <c r="J64" t="s">
        <v>3</v>
      </c>
      <c r="K64" t="s">
        <v>312</v>
      </c>
      <c r="L64">
        <v>1374</v>
      </c>
      <c r="N64">
        <v>1013</v>
      </c>
      <c r="O64" t="s">
        <v>313</v>
      </c>
      <c r="P64" t="s">
        <v>313</v>
      </c>
      <c r="Q64">
        <v>1</v>
      </c>
      <c r="X64">
        <v>4.37</v>
      </c>
      <c r="Y64">
        <v>1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4.37</v>
      </c>
      <c r="AH64">
        <v>2</v>
      </c>
      <c r="AI64">
        <v>35007989</v>
      </c>
      <c r="AJ64">
        <v>75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ROW(Source!A87)</f>
        <v>87</v>
      </c>
      <c r="B65">
        <v>35007990</v>
      </c>
      <c r="C65">
        <v>35007666</v>
      </c>
      <c r="D65">
        <v>31703778</v>
      </c>
      <c r="E65">
        <v>1</v>
      </c>
      <c r="F65">
        <v>1</v>
      </c>
      <c r="G65">
        <v>1</v>
      </c>
      <c r="H65">
        <v>1</v>
      </c>
      <c r="I65" t="s">
        <v>334</v>
      </c>
      <c r="J65" t="s">
        <v>3</v>
      </c>
      <c r="K65" t="s">
        <v>335</v>
      </c>
      <c r="L65">
        <v>1191</v>
      </c>
      <c r="N65">
        <v>1013</v>
      </c>
      <c r="O65" t="s">
        <v>290</v>
      </c>
      <c r="P65" t="s">
        <v>290</v>
      </c>
      <c r="Q65">
        <v>1</v>
      </c>
      <c r="X65">
        <v>0.59</v>
      </c>
      <c r="Y65">
        <v>0</v>
      </c>
      <c r="Z65">
        <v>0</v>
      </c>
      <c r="AA65">
        <v>0</v>
      </c>
      <c r="AB65">
        <v>9.07</v>
      </c>
      <c r="AC65">
        <v>0</v>
      </c>
      <c r="AD65">
        <v>1</v>
      </c>
      <c r="AE65">
        <v>1</v>
      </c>
      <c r="AF65" t="s">
        <v>3</v>
      </c>
      <c r="AG65">
        <v>0.59</v>
      </c>
      <c r="AH65">
        <v>2</v>
      </c>
      <c r="AI65">
        <v>35007990</v>
      </c>
      <c r="AJ65">
        <v>76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ROW(Source!A87)</f>
        <v>87</v>
      </c>
      <c r="B66">
        <v>35007991</v>
      </c>
      <c r="C66">
        <v>35007666</v>
      </c>
      <c r="D66">
        <v>31436897</v>
      </c>
      <c r="E66">
        <v>1</v>
      </c>
      <c r="F66">
        <v>1</v>
      </c>
      <c r="G66">
        <v>1</v>
      </c>
      <c r="H66">
        <v>3</v>
      </c>
      <c r="I66" t="s">
        <v>336</v>
      </c>
      <c r="J66" t="s">
        <v>337</v>
      </c>
      <c r="K66" t="s">
        <v>338</v>
      </c>
      <c r="L66">
        <v>1346</v>
      </c>
      <c r="N66">
        <v>1009</v>
      </c>
      <c r="O66" t="s">
        <v>121</v>
      </c>
      <c r="P66" t="s">
        <v>121</v>
      </c>
      <c r="Q66">
        <v>1</v>
      </c>
      <c r="X66">
        <v>0.04</v>
      </c>
      <c r="Y66">
        <v>6.15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0.04</v>
      </c>
      <c r="AH66">
        <v>2</v>
      </c>
      <c r="AI66">
        <v>35007991</v>
      </c>
      <c r="AJ66">
        <v>77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ROW(Source!A87)</f>
        <v>87</v>
      </c>
      <c r="B67">
        <v>35007992</v>
      </c>
      <c r="C67">
        <v>35007666</v>
      </c>
      <c r="D67">
        <v>31439017</v>
      </c>
      <c r="E67">
        <v>1</v>
      </c>
      <c r="F67">
        <v>1</v>
      </c>
      <c r="G67">
        <v>1</v>
      </c>
      <c r="H67">
        <v>3</v>
      </c>
      <c r="I67" t="s">
        <v>339</v>
      </c>
      <c r="J67" t="s">
        <v>340</v>
      </c>
      <c r="K67" t="s">
        <v>341</v>
      </c>
      <c r="L67">
        <v>1308</v>
      </c>
      <c r="N67">
        <v>1003</v>
      </c>
      <c r="O67" t="s">
        <v>57</v>
      </c>
      <c r="P67" t="s">
        <v>57</v>
      </c>
      <c r="Q67">
        <v>100</v>
      </c>
      <c r="X67">
        <v>3.0000000000000001E-3</v>
      </c>
      <c r="Y67">
        <v>143.97999999999999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3.0000000000000001E-3</v>
      </c>
      <c r="AH67">
        <v>2</v>
      </c>
      <c r="AI67">
        <v>35007992</v>
      </c>
      <c r="AJ67">
        <v>78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ROW(Source!A87)</f>
        <v>87</v>
      </c>
      <c r="B68">
        <v>35007993</v>
      </c>
      <c r="C68">
        <v>35007666</v>
      </c>
      <c r="D68">
        <v>31439019</v>
      </c>
      <c r="E68">
        <v>1</v>
      </c>
      <c r="F68">
        <v>1</v>
      </c>
      <c r="G68">
        <v>1</v>
      </c>
      <c r="H68">
        <v>3</v>
      </c>
      <c r="I68" t="s">
        <v>342</v>
      </c>
      <c r="J68" t="s">
        <v>343</v>
      </c>
      <c r="K68" t="s">
        <v>344</v>
      </c>
      <c r="L68">
        <v>1308</v>
      </c>
      <c r="N68">
        <v>1003</v>
      </c>
      <c r="O68" t="s">
        <v>57</v>
      </c>
      <c r="P68" t="s">
        <v>57</v>
      </c>
      <c r="Q68">
        <v>100</v>
      </c>
      <c r="X68">
        <v>4.0000000000000001E-3</v>
      </c>
      <c r="Y68">
        <v>38.590000000000003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4.0000000000000001E-3</v>
      </c>
      <c r="AH68">
        <v>2</v>
      </c>
      <c r="AI68">
        <v>35007993</v>
      </c>
      <c r="AJ68">
        <v>79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ROW(Source!A87)</f>
        <v>87</v>
      </c>
      <c r="B69">
        <v>35007994</v>
      </c>
      <c r="C69">
        <v>35007666</v>
      </c>
      <c r="D69">
        <v>31435925</v>
      </c>
      <c r="E69">
        <v>17</v>
      </c>
      <c r="F69">
        <v>1</v>
      </c>
      <c r="G69">
        <v>1</v>
      </c>
      <c r="H69">
        <v>3</v>
      </c>
      <c r="I69" t="s">
        <v>311</v>
      </c>
      <c r="J69" t="s">
        <v>3</v>
      </c>
      <c r="K69" t="s">
        <v>312</v>
      </c>
      <c r="L69">
        <v>1374</v>
      </c>
      <c r="N69">
        <v>1013</v>
      </c>
      <c r="O69" t="s">
        <v>313</v>
      </c>
      <c r="P69" t="s">
        <v>313</v>
      </c>
      <c r="Q69">
        <v>1</v>
      </c>
      <c r="X69">
        <v>0.11</v>
      </c>
      <c r="Y69">
        <v>1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0.11</v>
      </c>
      <c r="AH69">
        <v>2</v>
      </c>
      <c r="AI69">
        <v>35007994</v>
      </c>
      <c r="AJ69">
        <v>81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ROW(Source!A89)</f>
        <v>89</v>
      </c>
      <c r="B70">
        <v>35007995</v>
      </c>
      <c r="C70">
        <v>35007682</v>
      </c>
      <c r="D70">
        <v>31709886</v>
      </c>
      <c r="E70">
        <v>1</v>
      </c>
      <c r="F70">
        <v>1</v>
      </c>
      <c r="G70">
        <v>1</v>
      </c>
      <c r="H70">
        <v>1</v>
      </c>
      <c r="I70" t="s">
        <v>314</v>
      </c>
      <c r="J70" t="s">
        <v>3</v>
      </c>
      <c r="K70" t="s">
        <v>315</v>
      </c>
      <c r="L70">
        <v>1191</v>
      </c>
      <c r="N70">
        <v>1013</v>
      </c>
      <c r="O70" t="s">
        <v>290</v>
      </c>
      <c r="P70" t="s">
        <v>290</v>
      </c>
      <c r="Q70">
        <v>1</v>
      </c>
      <c r="X70">
        <v>12.41</v>
      </c>
      <c r="Y70">
        <v>0</v>
      </c>
      <c r="Z70">
        <v>0</v>
      </c>
      <c r="AA70">
        <v>0</v>
      </c>
      <c r="AB70">
        <v>9.6199999999999992</v>
      </c>
      <c r="AC70">
        <v>0</v>
      </c>
      <c r="AD70">
        <v>1</v>
      </c>
      <c r="AE70">
        <v>1</v>
      </c>
      <c r="AF70" t="s">
        <v>3</v>
      </c>
      <c r="AG70">
        <v>12.41</v>
      </c>
      <c r="AH70">
        <v>2</v>
      </c>
      <c r="AI70">
        <v>35007995</v>
      </c>
      <c r="AJ70">
        <v>82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ROW(Source!A89)</f>
        <v>89</v>
      </c>
      <c r="B71">
        <v>35007996</v>
      </c>
      <c r="C71">
        <v>35007682</v>
      </c>
      <c r="D71">
        <v>31703727</v>
      </c>
      <c r="E71">
        <v>1</v>
      </c>
      <c r="F71">
        <v>1</v>
      </c>
      <c r="G71">
        <v>1</v>
      </c>
      <c r="H71">
        <v>1</v>
      </c>
      <c r="I71" t="s">
        <v>293</v>
      </c>
      <c r="J71" t="s">
        <v>3</v>
      </c>
      <c r="K71" t="s">
        <v>294</v>
      </c>
      <c r="L71">
        <v>1191</v>
      </c>
      <c r="N71">
        <v>1013</v>
      </c>
      <c r="O71" t="s">
        <v>290</v>
      </c>
      <c r="P71" t="s">
        <v>290</v>
      </c>
      <c r="Q71">
        <v>1</v>
      </c>
      <c r="X71">
        <v>0.4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2</v>
      </c>
      <c r="AF71" t="s">
        <v>3</v>
      </c>
      <c r="AG71">
        <v>0.4</v>
      </c>
      <c r="AH71">
        <v>2</v>
      </c>
      <c r="AI71">
        <v>35007996</v>
      </c>
      <c r="AJ71">
        <v>83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ROW(Source!A89)</f>
        <v>89</v>
      </c>
      <c r="B72">
        <v>35007997</v>
      </c>
      <c r="C72">
        <v>35007682</v>
      </c>
      <c r="D72">
        <v>31519244</v>
      </c>
      <c r="E72">
        <v>1</v>
      </c>
      <c r="F72">
        <v>1</v>
      </c>
      <c r="G72">
        <v>1</v>
      </c>
      <c r="H72">
        <v>2</v>
      </c>
      <c r="I72" t="s">
        <v>295</v>
      </c>
      <c r="J72" t="s">
        <v>296</v>
      </c>
      <c r="K72" t="s">
        <v>297</v>
      </c>
      <c r="L72">
        <v>1368</v>
      </c>
      <c r="N72">
        <v>1011</v>
      </c>
      <c r="O72" t="s">
        <v>298</v>
      </c>
      <c r="P72" t="s">
        <v>298</v>
      </c>
      <c r="Q72">
        <v>1</v>
      </c>
      <c r="X72">
        <v>0.2</v>
      </c>
      <c r="Y72">
        <v>0</v>
      </c>
      <c r="Z72">
        <v>111.99</v>
      </c>
      <c r="AA72">
        <v>13.5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0.2</v>
      </c>
      <c r="AH72">
        <v>2</v>
      </c>
      <c r="AI72">
        <v>35007997</v>
      </c>
      <c r="AJ72">
        <v>84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ROW(Source!A89)</f>
        <v>89</v>
      </c>
      <c r="B73">
        <v>35007998</v>
      </c>
      <c r="C73">
        <v>35007682</v>
      </c>
      <c r="D73">
        <v>31519376</v>
      </c>
      <c r="E73">
        <v>1</v>
      </c>
      <c r="F73">
        <v>1</v>
      </c>
      <c r="G73">
        <v>1</v>
      </c>
      <c r="H73">
        <v>2</v>
      </c>
      <c r="I73" t="s">
        <v>316</v>
      </c>
      <c r="J73" t="s">
        <v>317</v>
      </c>
      <c r="K73" t="s">
        <v>318</v>
      </c>
      <c r="L73">
        <v>1368</v>
      </c>
      <c r="N73">
        <v>1011</v>
      </c>
      <c r="O73" t="s">
        <v>298</v>
      </c>
      <c r="P73" t="s">
        <v>298</v>
      </c>
      <c r="Q73">
        <v>1</v>
      </c>
      <c r="X73">
        <v>2.88</v>
      </c>
      <c r="Y73">
        <v>0</v>
      </c>
      <c r="Z73">
        <v>0.9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2.88</v>
      </c>
      <c r="AH73">
        <v>2</v>
      </c>
      <c r="AI73">
        <v>35007998</v>
      </c>
      <c r="AJ73">
        <v>85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ROW(Source!A89)</f>
        <v>89</v>
      </c>
      <c r="B74">
        <v>35007999</v>
      </c>
      <c r="C74">
        <v>35007682</v>
      </c>
      <c r="D74">
        <v>31519441</v>
      </c>
      <c r="E74">
        <v>1</v>
      </c>
      <c r="F74">
        <v>1</v>
      </c>
      <c r="G74">
        <v>1</v>
      </c>
      <c r="H74">
        <v>2</v>
      </c>
      <c r="I74" t="s">
        <v>319</v>
      </c>
      <c r="J74" t="s">
        <v>320</v>
      </c>
      <c r="K74" t="s">
        <v>321</v>
      </c>
      <c r="L74">
        <v>1368</v>
      </c>
      <c r="N74">
        <v>1011</v>
      </c>
      <c r="O74" t="s">
        <v>298</v>
      </c>
      <c r="P74" t="s">
        <v>298</v>
      </c>
      <c r="Q74">
        <v>1</v>
      </c>
      <c r="X74">
        <v>2.88</v>
      </c>
      <c r="Y74">
        <v>0</v>
      </c>
      <c r="Z74">
        <v>3.28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2.88</v>
      </c>
      <c r="AH74">
        <v>2</v>
      </c>
      <c r="AI74">
        <v>35007999</v>
      </c>
      <c r="AJ74">
        <v>86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ROW(Source!A89)</f>
        <v>89</v>
      </c>
      <c r="B75">
        <v>35008000</v>
      </c>
      <c r="C75">
        <v>35007682</v>
      </c>
      <c r="D75">
        <v>31520646</v>
      </c>
      <c r="E75">
        <v>1</v>
      </c>
      <c r="F75">
        <v>1</v>
      </c>
      <c r="G75">
        <v>1</v>
      </c>
      <c r="H75">
        <v>2</v>
      </c>
      <c r="I75" t="s">
        <v>299</v>
      </c>
      <c r="J75" t="s">
        <v>300</v>
      </c>
      <c r="K75" t="s">
        <v>301</v>
      </c>
      <c r="L75">
        <v>1368</v>
      </c>
      <c r="N75">
        <v>1011</v>
      </c>
      <c r="O75" t="s">
        <v>298</v>
      </c>
      <c r="P75" t="s">
        <v>298</v>
      </c>
      <c r="Q75">
        <v>1</v>
      </c>
      <c r="X75">
        <v>0.2</v>
      </c>
      <c r="Y75">
        <v>0</v>
      </c>
      <c r="Z75">
        <v>65.709999999999994</v>
      </c>
      <c r="AA75">
        <v>11.6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0.2</v>
      </c>
      <c r="AH75">
        <v>2</v>
      </c>
      <c r="AI75">
        <v>35008000</v>
      </c>
      <c r="AJ75">
        <v>87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ROW(Source!A89)</f>
        <v>89</v>
      </c>
      <c r="B76">
        <v>35008001</v>
      </c>
      <c r="C76">
        <v>35007682</v>
      </c>
      <c r="D76">
        <v>31438964</v>
      </c>
      <c r="E76">
        <v>1</v>
      </c>
      <c r="F76">
        <v>1</v>
      </c>
      <c r="G76">
        <v>1</v>
      </c>
      <c r="H76">
        <v>3</v>
      </c>
      <c r="I76" t="s">
        <v>322</v>
      </c>
      <c r="J76" t="s">
        <v>323</v>
      </c>
      <c r="K76" t="s">
        <v>324</v>
      </c>
      <c r="L76">
        <v>1308</v>
      </c>
      <c r="N76">
        <v>1003</v>
      </c>
      <c r="O76" t="s">
        <v>57</v>
      </c>
      <c r="P76" t="s">
        <v>57</v>
      </c>
      <c r="Q76">
        <v>100</v>
      </c>
      <c r="X76">
        <v>2.4500000000000001E-2</v>
      </c>
      <c r="Y76">
        <v>120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2.4500000000000001E-2</v>
      </c>
      <c r="AH76">
        <v>2</v>
      </c>
      <c r="AI76">
        <v>35008001</v>
      </c>
      <c r="AJ76">
        <v>88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ROW(Source!A89)</f>
        <v>89</v>
      </c>
      <c r="B77">
        <v>35008002</v>
      </c>
      <c r="C77">
        <v>35007682</v>
      </c>
      <c r="D77">
        <v>31441802</v>
      </c>
      <c r="E77">
        <v>1</v>
      </c>
      <c r="F77">
        <v>1</v>
      </c>
      <c r="G77">
        <v>1</v>
      </c>
      <c r="H77">
        <v>3</v>
      </c>
      <c r="I77" t="s">
        <v>325</v>
      </c>
      <c r="J77" t="s">
        <v>326</v>
      </c>
      <c r="K77" t="s">
        <v>327</v>
      </c>
      <c r="L77">
        <v>1348</v>
      </c>
      <c r="N77">
        <v>1009</v>
      </c>
      <c r="O77" t="s">
        <v>44</v>
      </c>
      <c r="P77" t="s">
        <v>44</v>
      </c>
      <c r="Q77">
        <v>1000</v>
      </c>
      <c r="X77">
        <v>1.1E-4</v>
      </c>
      <c r="Y77">
        <v>12430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1.1E-4</v>
      </c>
      <c r="AH77">
        <v>2</v>
      </c>
      <c r="AI77">
        <v>35008002</v>
      </c>
      <c r="AJ77">
        <v>89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ROW(Source!A89)</f>
        <v>89</v>
      </c>
      <c r="B78">
        <v>35008003</v>
      </c>
      <c r="C78">
        <v>35007682</v>
      </c>
      <c r="D78">
        <v>31466422</v>
      </c>
      <c r="E78">
        <v>1</v>
      </c>
      <c r="F78">
        <v>1</v>
      </c>
      <c r="G78">
        <v>1</v>
      </c>
      <c r="H78">
        <v>3</v>
      </c>
      <c r="I78" t="s">
        <v>328</v>
      </c>
      <c r="J78" t="s">
        <v>329</v>
      </c>
      <c r="K78" t="s">
        <v>330</v>
      </c>
      <c r="L78">
        <v>1346</v>
      </c>
      <c r="N78">
        <v>1009</v>
      </c>
      <c r="O78" t="s">
        <v>121</v>
      </c>
      <c r="P78" t="s">
        <v>121</v>
      </c>
      <c r="Q78">
        <v>1</v>
      </c>
      <c r="X78">
        <v>0.25</v>
      </c>
      <c r="Y78">
        <v>68.05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0.25</v>
      </c>
      <c r="AH78">
        <v>2</v>
      </c>
      <c r="AI78">
        <v>35008003</v>
      </c>
      <c r="AJ78">
        <v>90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ROW(Source!A89)</f>
        <v>89</v>
      </c>
      <c r="B79">
        <v>35008004</v>
      </c>
      <c r="C79">
        <v>35007682</v>
      </c>
      <c r="D79">
        <v>31475248</v>
      </c>
      <c r="E79">
        <v>1</v>
      </c>
      <c r="F79">
        <v>1</v>
      </c>
      <c r="G79">
        <v>1</v>
      </c>
      <c r="H79">
        <v>3</v>
      </c>
      <c r="I79" t="s">
        <v>331</v>
      </c>
      <c r="J79" t="s">
        <v>332</v>
      </c>
      <c r="K79" t="s">
        <v>333</v>
      </c>
      <c r="L79">
        <v>1348</v>
      </c>
      <c r="N79">
        <v>1009</v>
      </c>
      <c r="O79" t="s">
        <v>44</v>
      </c>
      <c r="P79" t="s">
        <v>44</v>
      </c>
      <c r="Q79">
        <v>1000</v>
      </c>
      <c r="X79">
        <v>7.2000000000000005E-4</v>
      </c>
      <c r="Y79">
        <v>7826.9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7.2000000000000005E-4</v>
      </c>
      <c r="AH79">
        <v>2</v>
      </c>
      <c r="AI79">
        <v>35008004</v>
      </c>
      <c r="AJ79">
        <v>91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ROW(Source!A89)</f>
        <v>89</v>
      </c>
      <c r="B80">
        <v>35008005</v>
      </c>
      <c r="C80">
        <v>35007682</v>
      </c>
      <c r="D80">
        <v>31435925</v>
      </c>
      <c r="E80">
        <v>17</v>
      </c>
      <c r="F80">
        <v>1</v>
      </c>
      <c r="G80">
        <v>1</v>
      </c>
      <c r="H80">
        <v>3</v>
      </c>
      <c r="I80" t="s">
        <v>311</v>
      </c>
      <c r="J80" t="s">
        <v>3</v>
      </c>
      <c r="K80" t="s">
        <v>312</v>
      </c>
      <c r="L80">
        <v>1374</v>
      </c>
      <c r="N80">
        <v>1013</v>
      </c>
      <c r="O80" t="s">
        <v>313</v>
      </c>
      <c r="P80" t="s">
        <v>313</v>
      </c>
      <c r="Q80">
        <v>1</v>
      </c>
      <c r="X80">
        <v>2.39</v>
      </c>
      <c r="Y80">
        <v>1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2.39</v>
      </c>
      <c r="AH80">
        <v>2</v>
      </c>
      <c r="AI80">
        <v>35008005</v>
      </c>
      <c r="AJ80">
        <v>93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ROW(Source!A159)</f>
        <v>159</v>
      </c>
      <c r="B81">
        <v>35008006</v>
      </c>
      <c r="C81">
        <v>35007815</v>
      </c>
      <c r="D81">
        <v>32162297</v>
      </c>
      <c r="E81">
        <v>1</v>
      </c>
      <c r="F81">
        <v>1</v>
      </c>
      <c r="G81">
        <v>1</v>
      </c>
      <c r="H81">
        <v>1</v>
      </c>
      <c r="I81" t="s">
        <v>366</v>
      </c>
      <c r="J81" t="s">
        <v>3</v>
      </c>
      <c r="K81" t="s">
        <v>367</v>
      </c>
      <c r="L81">
        <v>1191</v>
      </c>
      <c r="N81">
        <v>1013</v>
      </c>
      <c r="O81" t="s">
        <v>290</v>
      </c>
      <c r="P81" t="s">
        <v>290</v>
      </c>
      <c r="Q81">
        <v>1</v>
      </c>
      <c r="X81">
        <v>0.16</v>
      </c>
      <c r="Y81">
        <v>0</v>
      </c>
      <c r="Z81">
        <v>0</v>
      </c>
      <c r="AA81">
        <v>0</v>
      </c>
      <c r="AB81">
        <v>12.92</v>
      </c>
      <c r="AC81">
        <v>0</v>
      </c>
      <c r="AD81">
        <v>1</v>
      </c>
      <c r="AE81">
        <v>1</v>
      </c>
      <c r="AF81" t="s">
        <v>126</v>
      </c>
      <c r="AG81">
        <v>0.11199999999999999</v>
      </c>
      <c r="AH81">
        <v>2</v>
      </c>
      <c r="AI81">
        <v>35008006</v>
      </c>
      <c r="AJ81">
        <v>94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ROW(Source!A159)</f>
        <v>159</v>
      </c>
      <c r="B82">
        <v>35008007</v>
      </c>
      <c r="C82">
        <v>35007815</v>
      </c>
      <c r="D82">
        <v>32161334</v>
      </c>
      <c r="E82">
        <v>1</v>
      </c>
      <c r="F82">
        <v>1</v>
      </c>
      <c r="G82">
        <v>1</v>
      </c>
      <c r="H82">
        <v>1</v>
      </c>
      <c r="I82" t="s">
        <v>368</v>
      </c>
      <c r="J82" t="s">
        <v>3</v>
      </c>
      <c r="K82" t="s">
        <v>369</v>
      </c>
      <c r="L82">
        <v>1191</v>
      </c>
      <c r="N82">
        <v>1013</v>
      </c>
      <c r="O82" t="s">
        <v>290</v>
      </c>
      <c r="P82" t="s">
        <v>290</v>
      </c>
      <c r="Q82">
        <v>1</v>
      </c>
      <c r="X82">
        <v>0.16</v>
      </c>
      <c r="Y82">
        <v>0</v>
      </c>
      <c r="Z82">
        <v>0</v>
      </c>
      <c r="AA82">
        <v>0</v>
      </c>
      <c r="AB82">
        <v>12.69</v>
      </c>
      <c r="AC82">
        <v>0</v>
      </c>
      <c r="AD82">
        <v>1</v>
      </c>
      <c r="AE82">
        <v>1</v>
      </c>
      <c r="AF82" t="s">
        <v>126</v>
      </c>
      <c r="AG82">
        <v>0.11199999999999999</v>
      </c>
      <c r="AH82">
        <v>2</v>
      </c>
      <c r="AI82">
        <v>35008007</v>
      </c>
      <c r="AJ82">
        <v>95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ROW(Source!A160)</f>
        <v>160</v>
      </c>
      <c r="B83">
        <v>35008008</v>
      </c>
      <c r="C83">
        <v>35007820</v>
      </c>
      <c r="D83">
        <v>32162297</v>
      </c>
      <c r="E83">
        <v>1</v>
      </c>
      <c r="F83">
        <v>1</v>
      </c>
      <c r="G83">
        <v>1</v>
      </c>
      <c r="H83">
        <v>1</v>
      </c>
      <c r="I83" t="s">
        <v>366</v>
      </c>
      <c r="J83" t="s">
        <v>3</v>
      </c>
      <c r="K83" t="s">
        <v>367</v>
      </c>
      <c r="L83">
        <v>1191</v>
      </c>
      <c r="N83">
        <v>1013</v>
      </c>
      <c r="O83" t="s">
        <v>290</v>
      </c>
      <c r="P83" t="s">
        <v>290</v>
      </c>
      <c r="Q83">
        <v>1</v>
      </c>
      <c r="X83">
        <v>0.41</v>
      </c>
      <c r="Y83">
        <v>0</v>
      </c>
      <c r="Z83">
        <v>0</v>
      </c>
      <c r="AA83">
        <v>0</v>
      </c>
      <c r="AB83">
        <v>12.92</v>
      </c>
      <c r="AC83">
        <v>0</v>
      </c>
      <c r="AD83">
        <v>1</v>
      </c>
      <c r="AE83">
        <v>1</v>
      </c>
      <c r="AF83" t="s">
        <v>3</v>
      </c>
      <c r="AG83">
        <v>0.41</v>
      </c>
      <c r="AH83">
        <v>2</v>
      </c>
      <c r="AI83">
        <v>35008008</v>
      </c>
      <c r="AJ83">
        <v>96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ROW(Source!A160)</f>
        <v>160</v>
      </c>
      <c r="B84">
        <v>35008009</v>
      </c>
      <c r="C84">
        <v>35007820</v>
      </c>
      <c r="D84">
        <v>32161334</v>
      </c>
      <c r="E84">
        <v>1</v>
      </c>
      <c r="F84">
        <v>1</v>
      </c>
      <c r="G84">
        <v>1</v>
      </c>
      <c r="H84">
        <v>1</v>
      </c>
      <c r="I84" t="s">
        <v>368</v>
      </c>
      <c r="J84" t="s">
        <v>3</v>
      </c>
      <c r="K84" t="s">
        <v>369</v>
      </c>
      <c r="L84">
        <v>1191</v>
      </c>
      <c r="N84">
        <v>1013</v>
      </c>
      <c r="O84" t="s">
        <v>290</v>
      </c>
      <c r="P84" t="s">
        <v>290</v>
      </c>
      <c r="Q84">
        <v>1</v>
      </c>
      <c r="X84">
        <v>0.41</v>
      </c>
      <c r="Y84">
        <v>0</v>
      </c>
      <c r="Z84">
        <v>0</v>
      </c>
      <c r="AA84">
        <v>0</v>
      </c>
      <c r="AB84">
        <v>12.69</v>
      </c>
      <c r="AC84">
        <v>0</v>
      </c>
      <c r="AD84">
        <v>1</v>
      </c>
      <c r="AE84">
        <v>1</v>
      </c>
      <c r="AF84" t="s">
        <v>3</v>
      </c>
      <c r="AG84">
        <v>0.41</v>
      </c>
      <c r="AH84">
        <v>2</v>
      </c>
      <c r="AI84">
        <v>35008009</v>
      </c>
      <c r="AJ84">
        <v>97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ROW(Source!A161)</f>
        <v>161</v>
      </c>
      <c r="B85">
        <v>35008010</v>
      </c>
      <c r="C85">
        <v>35007825</v>
      </c>
      <c r="D85">
        <v>32161581</v>
      </c>
      <c r="E85">
        <v>1</v>
      </c>
      <c r="F85">
        <v>1</v>
      </c>
      <c r="G85">
        <v>1</v>
      </c>
      <c r="H85">
        <v>1</v>
      </c>
      <c r="I85" t="s">
        <v>370</v>
      </c>
      <c r="J85" t="s">
        <v>3</v>
      </c>
      <c r="K85" t="s">
        <v>371</v>
      </c>
      <c r="L85">
        <v>1191</v>
      </c>
      <c r="N85">
        <v>1013</v>
      </c>
      <c r="O85" t="s">
        <v>290</v>
      </c>
      <c r="P85" t="s">
        <v>290</v>
      </c>
      <c r="Q85">
        <v>1</v>
      </c>
      <c r="X85">
        <v>2.92</v>
      </c>
      <c r="Y85">
        <v>0</v>
      </c>
      <c r="Z85">
        <v>0</v>
      </c>
      <c r="AA85">
        <v>0</v>
      </c>
      <c r="AB85">
        <v>9.6199999999999992</v>
      </c>
      <c r="AC85">
        <v>0</v>
      </c>
      <c r="AD85">
        <v>1</v>
      </c>
      <c r="AE85">
        <v>1</v>
      </c>
      <c r="AF85" t="s">
        <v>3</v>
      </c>
      <c r="AG85">
        <v>2.92</v>
      </c>
      <c r="AH85">
        <v>2</v>
      </c>
      <c r="AI85">
        <v>35008010</v>
      </c>
      <c r="AJ85">
        <v>98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ROW(Source!A161)</f>
        <v>161</v>
      </c>
      <c r="B86">
        <v>35008011</v>
      </c>
      <c r="C86">
        <v>35007825</v>
      </c>
      <c r="D86">
        <v>32161334</v>
      </c>
      <c r="E86">
        <v>1</v>
      </c>
      <c r="F86">
        <v>1</v>
      </c>
      <c r="G86">
        <v>1</v>
      </c>
      <c r="H86">
        <v>1</v>
      </c>
      <c r="I86" t="s">
        <v>368</v>
      </c>
      <c r="J86" t="s">
        <v>3</v>
      </c>
      <c r="K86" t="s">
        <v>369</v>
      </c>
      <c r="L86">
        <v>1191</v>
      </c>
      <c r="N86">
        <v>1013</v>
      </c>
      <c r="O86" t="s">
        <v>290</v>
      </c>
      <c r="P86" t="s">
        <v>290</v>
      </c>
      <c r="Q86">
        <v>1</v>
      </c>
      <c r="X86">
        <v>4.37</v>
      </c>
      <c r="Y86">
        <v>0</v>
      </c>
      <c r="Z86">
        <v>0</v>
      </c>
      <c r="AA86">
        <v>0</v>
      </c>
      <c r="AB86">
        <v>12.69</v>
      </c>
      <c r="AC86">
        <v>0</v>
      </c>
      <c r="AD86">
        <v>1</v>
      </c>
      <c r="AE86">
        <v>1</v>
      </c>
      <c r="AF86" t="s">
        <v>3</v>
      </c>
      <c r="AG86">
        <v>4.37</v>
      </c>
      <c r="AH86">
        <v>2</v>
      </c>
      <c r="AI86">
        <v>35008011</v>
      </c>
      <c r="AJ86">
        <v>99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ROW(Source!A162)</f>
        <v>162</v>
      </c>
      <c r="B87">
        <v>35008012</v>
      </c>
      <c r="C87">
        <v>35007830</v>
      </c>
      <c r="D87">
        <v>32162297</v>
      </c>
      <c r="E87">
        <v>1</v>
      </c>
      <c r="F87">
        <v>1</v>
      </c>
      <c r="G87">
        <v>1</v>
      </c>
      <c r="H87">
        <v>1</v>
      </c>
      <c r="I87" t="s">
        <v>366</v>
      </c>
      <c r="J87" t="s">
        <v>3</v>
      </c>
      <c r="K87" t="s">
        <v>367</v>
      </c>
      <c r="L87">
        <v>1191</v>
      </c>
      <c r="N87">
        <v>1013</v>
      </c>
      <c r="O87" t="s">
        <v>290</v>
      </c>
      <c r="P87" t="s">
        <v>290</v>
      </c>
      <c r="Q87">
        <v>1</v>
      </c>
      <c r="X87">
        <v>0.61</v>
      </c>
      <c r="Y87">
        <v>0</v>
      </c>
      <c r="Z87">
        <v>0</v>
      </c>
      <c r="AA87">
        <v>0</v>
      </c>
      <c r="AB87">
        <v>12.92</v>
      </c>
      <c r="AC87">
        <v>0</v>
      </c>
      <c r="AD87">
        <v>1</v>
      </c>
      <c r="AE87">
        <v>1</v>
      </c>
      <c r="AF87" t="s">
        <v>3</v>
      </c>
      <c r="AG87">
        <v>0.61</v>
      </c>
      <c r="AH87">
        <v>2</v>
      </c>
      <c r="AI87">
        <v>35008012</v>
      </c>
      <c r="AJ87">
        <v>100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ROW(Source!A162)</f>
        <v>162</v>
      </c>
      <c r="B88">
        <v>35008013</v>
      </c>
      <c r="C88">
        <v>35007830</v>
      </c>
      <c r="D88">
        <v>32161334</v>
      </c>
      <c r="E88">
        <v>1</v>
      </c>
      <c r="F88">
        <v>1</v>
      </c>
      <c r="G88">
        <v>1</v>
      </c>
      <c r="H88">
        <v>1</v>
      </c>
      <c r="I88" t="s">
        <v>368</v>
      </c>
      <c r="J88" t="s">
        <v>3</v>
      </c>
      <c r="K88" t="s">
        <v>369</v>
      </c>
      <c r="L88">
        <v>1191</v>
      </c>
      <c r="N88">
        <v>1013</v>
      </c>
      <c r="O88" t="s">
        <v>290</v>
      </c>
      <c r="P88" t="s">
        <v>290</v>
      </c>
      <c r="Q88">
        <v>1</v>
      </c>
      <c r="X88">
        <v>0.61</v>
      </c>
      <c r="Y88">
        <v>0</v>
      </c>
      <c r="Z88">
        <v>0</v>
      </c>
      <c r="AA88">
        <v>0</v>
      </c>
      <c r="AB88">
        <v>12.69</v>
      </c>
      <c r="AC88">
        <v>0</v>
      </c>
      <c r="AD88">
        <v>1</v>
      </c>
      <c r="AE88">
        <v>1</v>
      </c>
      <c r="AF88" t="s">
        <v>3</v>
      </c>
      <c r="AG88">
        <v>0.61</v>
      </c>
      <c r="AH88">
        <v>2</v>
      </c>
      <c r="AI88">
        <v>35008013</v>
      </c>
      <c r="AJ88">
        <v>101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ROW(Source!A197)</f>
        <v>197</v>
      </c>
      <c r="B89">
        <v>35008014</v>
      </c>
      <c r="C89">
        <v>35007889</v>
      </c>
      <c r="D89">
        <v>32162297</v>
      </c>
      <c r="E89">
        <v>1</v>
      </c>
      <c r="F89">
        <v>1</v>
      </c>
      <c r="G89">
        <v>1</v>
      </c>
      <c r="H89">
        <v>1</v>
      </c>
      <c r="I89" t="s">
        <v>366</v>
      </c>
      <c r="J89" t="s">
        <v>3</v>
      </c>
      <c r="K89" t="s">
        <v>367</v>
      </c>
      <c r="L89">
        <v>1191</v>
      </c>
      <c r="N89">
        <v>1013</v>
      </c>
      <c r="O89" t="s">
        <v>290</v>
      </c>
      <c r="P89" t="s">
        <v>290</v>
      </c>
      <c r="Q89">
        <v>1</v>
      </c>
      <c r="X89">
        <v>0.16</v>
      </c>
      <c r="Y89">
        <v>0</v>
      </c>
      <c r="Z89">
        <v>0</v>
      </c>
      <c r="AA89">
        <v>0</v>
      </c>
      <c r="AB89">
        <v>12.92</v>
      </c>
      <c r="AC89">
        <v>0</v>
      </c>
      <c r="AD89">
        <v>1</v>
      </c>
      <c r="AE89">
        <v>1</v>
      </c>
      <c r="AF89" t="s">
        <v>221</v>
      </c>
      <c r="AG89">
        <v>0.20800000000000002</v>
      </c>
      <c r="AH89">
        <v>2</v>
      </c>
      <c r="AI89">
        <v>35008014</v>
      </c>
      <c r="AJ89">
        <v>102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ROW(Source!A197)</f>
        <v>197</v>
      </c>
      <c r="B90">
        <v>35008015</v>
      </c>
      <c r="C90">
        <v>35007889</v>
      </c>
      <c r="D90">
        <v>32161334</v>
      </c>
      <c r="E90">
        <v>1</v>
      </c>
      <c r="F90">
        <v>1</v>
      </c>
      <c r="G90">
        <v>1</v>
      </c>
      <c r="H90">
        <v>1</v>
      </c>
      <c r="I90" t="s">
        <v>368</v>
      </c>
      <c r="J90" t="s">
        <v>3</v>
      </c>
      <c r="K90" t="s">
        <v>369</v>
      </c>
      <c r="L90">
        <v>1191</v>
      </c>
      <c r="N90">
        <v>1013</v>
      </c>
      <c r="O90" t="s">
        <v>290</v>
      </c>
      <c r="P90" t="s">
        <v>290</v>
      </c>
      <c r="Q90">
        <v>1</v>
      </c>
      <c r="X90">
        <v>0.16</v>
      </c>
      <c r="Y90">
        <v>0</v>
      </c>
      <c r="Z90">
        <v>0</v>
      </c>
      <c r="AA90">
        <v>0</v>
      </c>
      <c r="AB90">
        <v>12.69</v>
      </c>
      <c r="AC90">
        <v>0</v>
      </c>
      <c r="AD90">
        <v>1</v>
      </c>
      <c r="AE90">
        <v>1</v>
      </c>
      <c r="AF90" t="s">
        <v>221</v>
      </c>
      <c r="AG90">
        <v>0.20800000000000002</v>
      </c>
      <c r="AH90">
        <v>2</v>
      </c>
      <c r="AI90">
        <v>35008015</v>
      </c>
      <c r="AJ90">
        <v>103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ROW(Source!A198)</f>
        <v>198</v>
      </c>
      <c r="B91">
        <v>35008016</v>
      </c>
      <c r="C91">
        <v>35007894</v>
      </c>
      <c r="D91">
        <v>32162297</v>
      </c>
      <c r="E91">
        <v>1</v>
      </c>
      <c r="F91">
        <v>1</v>
      </c>
      <c r="G91">
        <v>1</v>
      </c>
      <c r="H91">
        <v>1</v>
      </c>
      <c r="I91" t="s">
        <v>366</v>
      </c>
      <c r="J91" t="s">
        <v>3</v>
      </c>
      <c r="K91" t="s">
        <v>367</v>
      </c>
      <c r="L91">
        <v>1191</v>
      </c>
      <c r="N91">
        <v>1013</v>
      </c>
      <c r="O91" t="s">
        <v>290</v>
      </c>
      <c r="P91" t="s">
        <v>290</v>
      </c>
      <c r="Q91">
        <v>1</v>
      </c>
      <c r="X91">
        <v>0.41</v>
      </c>
      <c r="Y91">
        <v>0</v>
      </c>
      <c r="Z91">
        <v>0</v>
      </c>
      <c r="AA91">
        <v>0</v>
      </c>
      <c r="AB91">
        <v>12.92</v>
      </c>
      <c r="AC91">
        <v>0</v>
      </c>
      <c r="AD91">
        <v>1</v>
      </c>
      <c r="AE91">
        <v>1</v>
      </c>
      <c r="AF91" t="s">
        <v>3</v>
      </c>
      <c r="AG91">
        <v>0.41</v>
      </c>
      <c r="AH91">
        <v>2</v>
      </c>
      <c r="AI91">
        <v>35008016</v>
      </c>
      <c r="AJ91">
        <v>104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ROW(Source!A198)</f>
        <v>198</v>
      </c>
      <c r="B92">
        <v>35008017</v>
      </c>
      <c r="C92">
        <v>35007894</v>
      </c>
      <c r="D92">
        <v>32161334</v>
      </c>
      <c r="E92">
        <v>1</v>
      </c>
      <c r="F92">
        <v>1</v>
      </c>
      <c r="G92">
        <v>1</v>
      </c>
      <c r="H92">
        <v>1</v>
      </c>
      <c r="I92" t="s">
        <v>368</v>
      </c>
      <c r="J92" t="s">
        <v>3</v>
      </c>
      <c r="K92" t="s">
        <v>369</v>
      </c>
      <c r="L92">
        <v>1191</v>
      </c>
      <c r="N92">
        <v>1013</v>
      </c>
      <c r="O92" t="s">
        <v>290</v>
      </c>
      <c r="P92" t="s">
        <v>290</v>
      </c>
      <c r="Q92">
        <v>1</v>
      </c>
      <c r="X92">
        <v>0.41</v>
      </c>
      <c r="Y92">
        <v>0</v>
      </c>
      <c r="Z92">
        <v>0</v>
      </c>
      <c r="AA92">
        <v>0</v>
      </c>
      <c r="AB92">
        <v>12.69</v>
      </c>
      <c r="AC92">
        <v>0</v>
      </c>
      <c r="AD92">
        <v>1</v>
      </c>
      <c r="AE92">
        <v>1</v>
      </c>
      <c r="AF92" t="s">
        <v>3</v>
      </c>
      <c r="AG92">
        <v>0.41</v>
      </c>
      <c r="AH92">
        <v>2</v>
      </c>
      <c r="AI92">
        <v>35008017</v>
      </c>
      <c r="AJ92">
        <v>105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10 гр. по ФЕР</vt:lpstr>
      <vt:lpstr>Source</vt:lpstr>
      <vt:lpstr>SourceObSm</vt:lpstr>
      <vt:lpstr>SmtRes</vt:lpstr>
      <vt:lpstr>EtalonRes</vt:lpstr>
      <vt:lpstr>'Смета 10 гр. по ФЕР'!Заголовки_для_печати</vt:lpstr>
      <vt:lpstr>'Смета 10 гр. по ФЕР'!Область_печати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Moiseikina Mariya</dc:creator>
  <cp:lastModifiedBy>Moiseikina Mariya</cp:lastModifiedBy>
  <dcterms:created xsi:type="dcterms:W3CDTF">2018-02-13T13:58:34Z</dcterms:created>
  <dcterms:modified xsi:type="dcterms:W3CDTF">2018-03-23T14:33:31Z</dcterms:modified>
</cp:coreProperties>
</file>